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230" tabRatio="732" firstSheet="1" activeTab="2"/>
  </bookViews>
  <sheets>
    <sheet name="Cálculo de BDI" sheetId="1" r:id="rId1"/>
    <sheet name="Orçamento resumido" sheetId="2" r:id="rId2"/>
    <sheet name="Planilha orçamentária" sheetId="3" r:id="rId3"/>
    <sheet name="Composições Unitárias" sheetId="4" r:id="rId4"/>
    <sheet name="Mapa de Cotação" sheetId="5" r:id="rId5"/>
    <sheet name="Curva ABC" sheetId="6" r:id="rId6"/>
    <sheet name="Cronograma Físico Financeiro" sheetId="7" r:id="rId7"/>
    <sheet name="Cronograma Descritivo" sheetId="8" r:id="rId8"/>
    <sheet name="QUANTITATIVO" sheetId="9" r:id="rId9"/>
    <sheet name="DECLARAÇÃO" sheetId="10" r:id="rId10"/>
  </sheets>
  <definedNames>
    <definedName name="_xlnm._FilterDatabase" localSheetId="2" hidden="1">'Planilha orçamentária'!$A$12:$J$324</definedName>
    <definedName name="_xlnm.Print_Area" localSheetId="0">'Cálculo de BDI'!$B$1:$E$44</definedName>
    <definedName name="_xlnm.Print_Area" localSheetId="3">'Composições Unitárias'!$A$1:$G$3057</definedName>
    <definedName name="_xlnm.Print_Area" localSheetId="7">'Cronograma Descritivo'!$A$1:$C$313</definedName>
    <definedName name="_xlnm.Print_Area" localSheetId="6">'Cronograma Físico Financeiro'!$A$1:$N$44</definedName>
    <definedName name="_xlnm.Print_Area" localSheetId="5">'Curva ABC'!$A$1:$K$193</definedName>
    <definedName name="_xlnm.Print_Area" localSheetId="4">'Mapa de Cotação'!$B$1:$L$42</definedName>
    <definedName name="_xlnm.Print_Area" localSheetId="1">'Orçamento resumido'!$B$1:$E$34</definedName>
    <definedName name="_xlnm.Print_Area" localSheetId="2">'Planilha orçamentária'!$B$1:$J$323</definedName>
    <definedName name="_xlnm.Print_Area" localSheetId="8">'QUANTITATIVO'!$A$1:$E$288</definedName>
    <definedName name="ET">#N/A</definedName>
    <definedName name="ET_2">#N/A</definedName>
    <definedName name="fim">#N/A</definedName>
    <definedName name="fim_2">#N/A</definedName>
    <definedName name="RR">#N/A</definedName>
    <definedName name="RR_2">#N/A</definedName>
    <definedName name="_xlnm.Print_Titles" localSheetId="3">'Composições Unitárias'!$1:$11</definedName>
    <definedName name="_xlnm.Print_Titles" localSheetId="6">'Cronograma Físico Financeiro'!$A:$D</definedName>
    <definedName name="_xlnm.Print_Titles" localSheetId="4">'Mapa de Cotação'!$1:$12</definedName>
    <definedName name="_xlnm.Print_Titles" localSheetId="1">'Orçamento resumido'!$15:$17</definedName>
    <definedName name="TOTAL">#N/A</definedName>
    <definedName name="TOTAL_2">#N/A</definedName>
    <definedName name="TT">#N/A</definedName>
    <definedName name="TT_2">#N/A</definedName>
  </definedNames>
  <calcPr fullCalcOnLoad="1"/>
</workbook>
</file>

<file path=xl/sharedStrings.xml><?xml version="1.0" encoding="utf-8"?>
<sst xmlns="http://schemas.openxmlformats.org/spreadsheetml/2006/main" count="8426" uniqueCount="1837">
  <si>
    <t>Unid.</t>
  </si>
  <si>
    <t>PREÇOS TOTAIS</t>
  </si>
  <si>
    <t>Material</t>
  </si>
  <si>
    <t>TÉCNICO RESPONSÁVEL:</t>
  </si>
  <si>
    <t>m</t>
  </si>
  <si>
    <t>un</t>
  </si>
  <si>
    <t>m2</t>
  </si>
  <si>
    <t>TOTAIS PARCIAIS</t>
  </si>
  <si>
    <t>%</t>
  </si>
  <si>
    <t>1ª PARCELA</t>
  </si>
  <si>
    <t>2ª PARCELA</t>
  </si>
  <si>
    <t>3ª PARCELA</t>
  </si>
  <si>
    <t>4ª PARCELA</t>
  </si>
  <si>
    <t>Mão de obra</t>
  </si>
  <si>
    <t>TOTAIS</t>
  </si>
  <si>
    <t>CRONOGRAMA DESCRITIVO</t>
  </si>
  <si>
    <t>PRIMEIRA PARCELA</t>
  </si>
  <si>
    <t>- data limite para conclusão dos serviços: 30 dias do início da obra</t>
  </si>
  <si>
    <t>- pagamento quando satisfeitas as seguintes condições:</t>
  </si>
  <si>
    <t>Quant. de itens</t>
  </si>
  <si>
    <t>A</t>
  </si>
  <si>
    <t>B</t>
  </si>
  <si>
    <t>C</t>
  </si>
  <si>
    <t>Projeto As built - Formato A0</t>
  </si>
  <si>
    <t>m³</t>
  </si>
  <si>
    <t>m²</t>
  </si>
  <si>
    <t>Descrição</t>
  </si>
  <si>
    <t>BDI</t>
  </si>
  <si>
    <t>Total</t>
  </si>
  <si>
    <t>do Item</t>
  </si>
  <si>
    <t>TOTAL GERAL</t>
  </si>
  <si>
    <t>COM BDI</t>
  </si>
  <si>
    <t xml:space="preserve">Total </t>
  </si>
  <si>
    <t>Unitário</t>
  </si>
  <si>
    <t>Quant.</t>
  </si>
  <si>
    <t>Item</t>
  </si>
  <si>
    <t>Item total</t>
  </si>
  <si>
    <t>Total geral</t>
  </si>
  <si>
    <t>Cálculo do BDI* (Benefícios e Despesas Indiretas)</t>
  </si>
  <si>
    <t xml:space="preserve">Riscos (R) </t>
  </si>
  <si>
    <t>Fórmula do BDI</t>
  </si>
  <si>
    <t>Observações</t>
  </si>
  <si>
    <t>** Valores Referenciais dados pelo Acórdão 2622/2013 - TCU - Plenário.</t>
  </si>
  <si>
    <t>**** Conforme orientações do TCU, publicadas no guia ORIENTAÇÕES PARA ELABORAÇÃO DE PLANILHAS ORÇAMENTÁRIAS DE OBRAS PÚBLICAS, a CPRB (Contribuição Previdenciária Sobre a Receita Bruta) deve ser incluída no cálculo do BDI de orçamentos que consideram a desoneração da folha de pagamentos.</t>
  </si>
  <si>
    <t>Participação</t>
  </si>
  <si>
    <t>Classificação</t>
  </si>
  <si>
    <t xml:space="preserve"> (%)</t>
  </si>
  <si>
    <t>Acumulada (%)</t>
  </si>
  <si>
    <t>na Curva</t>
  </si>
  <si>
    <t>PARTICIPAÇÃO NA CURVA ABC</t>
  </si>
  <si>
    <t>Classificação na curva</t>
  </si>
  <si>
    <t>% Representativo da quantidade de itens</t>
  </si>
  <si>
    <t>% Representativo de participação nos custos</t>
  </si>
  <si>
    <t>Total:</t>
  </si>
  <si>
    <t>DATA:</t>
  </si>
  <si>
    <t>CÓDIGO</t>
  </si>
  <si>
    <t>DESCRIÇÃO</t>
  </si>
  <si>
    <t>m/mês</t>
  </si>
  <si>
    <t>30 dias do início da obra</t>
  </si>
  <si>
    <t>60 dias do início da obra</t>
  </si>
  <si>
    <t>SEGUNDA PARCELA</t>
  </si>
  <si>
    <t>- data limite para conclusão dos serviços: 60 dias do início da obra</t>
  </si>
  <si>
    <r>
      <rPr>
        <b/>
        <sz val="11"/>
        <color indexed="8"/>
        <rFont val="Calibri"/>
        <family val="2"/>
      </rPr>
      <t>CRONOGRAMA FISICO-FINANCEIRO DE DESENVOLVIMENTO 
X 
DESEMBOLSOS DA OBRA DE REFORMA DO PRÉDIO DA AGÊNCIA</t>
    </r>
  </si>
  <si>
    <t>Valor da medição atual (parcela)</t>
  </si>
  <si>
    <t>Valor da medição acumulada</t>
  </si>
  <si>
    <t>Valor total do contrato</t>
  </si>
  <si>
    <t>cj</t>
  </si>
  <si>
    <t>ITEM</t>
  </si>
  <si>
    <t>CLASS</t>
  </si>
  <si>
    <t>UNIDADE</t>
  </si>
  <si>
    <t>COEF.</t>
  </si>
  <si>
    <t>M</t>
  </si>
  <si>
    <t>SER.CG</t>
  </si>
  <si>
    <t>MAT.</t>
  </si>
  <si>
    <t>PAR</t>
  </si>
  <si>
    <t>UN</t>
  </si>
  <si>
    <t>M.O.</t>
  </si>
  <si>
    <t>H</t>
  </si>
  <si>
    <t>(U)37372</t>
  </si>
  <si>
    <t>EXAMES - HORISTA (ENCARGOS COMPLEMENTARES) (COLETADO CAIXA)</t>
  </si>
  <si>
    <t>(U)37373</t>
  </si>
  <si>
    <t>SEGURO - HORISTA (ENCARGOS COMPLEMENTARES) (COLETADO CAIXA)</t>
  </si>
  <si>
    <t>M2</t>
  </si>
  <si>
    <t>Observação:</t>
  </si>
  <si>
    <t>Mão de obra estimada a fim de atender a atividade prevista.</t>
  </si>
  <si>
    <t>L</t>
  </si>
  <si>
    <t>LOCACAO DE ANDAIME METALICO TUBULAR TIPO TORRE</t>
  </si>
  <si>
    <t>M/MES</t>
  </si>
  <si>
    <t>(U)10527</t>
  </si>
  <si>
    <t>LOCACAO DE ANDAIME METALICO TUBULAR DE ENCAIXE, TIPO DE TORRE, COM LARGURA DE 1 ATE 1,5 M E ALTURA DE *1,00* M</t>
  </si>
  <si>
    <t>LIMPEZA FINAL DA OBRA</t>
  </si>
  <si>
    <t>(U)3</t>
  </si>
  <si>
    <t>ACIDO MURIATICO, DILUICAO 10% A 12% PARA USO EM LIMPEZA</t>
  </si>
  <si>
    <t>5ª PARCELA</t>
  </si>
  <si>
    <t>6ª PARCELA</t>
  </si>
  <si>
    <t>90 dias do início da obra</t>
  </si>
  <si>
    <t>120 dias do início da obra</t>
  </si>
  <si>
    <t>150 dias do início da obra</t>
  </si>
  <si>
    <t>180 dias do início da obra</t>
  </si>
  <si>
    <t>TERCEIRA PARCELA</t>
  </si>
  <si>
    <t>- data limite para conclusão dos serviços: 90 dias do início da obra</t>
  </si>
  <si>
    <t>QUARTA PARCELA</t>
  </si>
  <si>
    <t>- data limite para conclusão dos serviços: 120 dias do início da obra</t>
  </si>
  <si>
    <t>QUINTA PARCELA</t>
  </si>
  <si>
    <t>- data limite para conclusão dos serviços: 150 dias do início da obra</t>
  </si>
  <si>
    <t>SEXTA PARCELA</t>
  </si>
  <si>
    <t>- data limite para conclusão dos serviços: 180 dias do início da obra</t>
  </si>
  <si>
    <t>CURVA ABC</t>
  </si>
  <si>
    <t>Remoção de luminária</t>
  </si>
  <si>
    <t>Cortineiro em gesso acartonado</t>
  </si>
  <si>
    <t>pç</t>
  </si>
  <si>
    <t>unid.</t>
  </si>
  <si>
    <t>Mobilização e desmobilização de pessoal, materiais e equipamentos</t>
  </si>
  <si>
    <t>LOCAL</t>
  </si>
  <si>
    <t>Fornecimento e montagem de tapumes, inclusive pintura</t>
  </si>
  <si>
    <t>Fornecimento e montagem de andaime metálico tubular tipo torre - locação</t>
  </si>
  <si>
    <t>Proteção com lona plástica de móveis e equipamentos</t>
  </si>
  <si>
    <t>Geral</t>
  </si>
  <si>
    <t>circulação</t>
  </si>
  <si>
    <t>geral</t>
  </si>
  <si>
    <t xml:space="preserve">Engenheiro/ Arquiteto de Obra Pleno </t>
  </si>
  <si>
    <t>Mestre de Obras</t>
  </si>
  <si>
    <t xml:space="preserve">Abertura de furo em concreto com martelete até Ø75mm,  inclusive acabamentos </t>
  </si>
  <si>
    <t>vergas - ventilação sanitários</t>
  </si>
  <si>
    <t>Abertura de rasgo em paredes para serviços hidráulicos / elétricos</t>
  </si>
  <si>
    <t>Abertura de rasgo em pisos para serviços hidráulicos / elétricos</t>
  </si>
  <si>
    <t>Demolição de alvenaria</t>
  </si>
  <si>
    <t>sanitários -abertura de vãos</t>
  </si>
  <si>
    <t xml:space="preserve">Demolição de contrapiso </t>
  </si>
  <si>
    <t>sanitários</t>
  </si>
  <si>
    <t>Desmontagem e retirada de mobiliário</t>
  </si>
  <si>
    <t>Remoção de divisórias navais / BP-Plus / madeira e similares</t>
  </si>
  <si>
    <t>Remoção de entulho, inclusive o transporte e descarga em caçamba de aço</t>
  </si>
  <si>
    <t>Remoção de instalações elétricas / lógicas</t>
  </si>
  <si>
    <t>Remoção de piso emborrachado / vinílico</t>
  </si>
  <si>
    <t>Remoção de portas de divisória</t>
  </si>
  <si>
    <t>Remoção de esquadria de madeira</t>
  </si>
  <si>
    <t>acesso principal</t>
  </si>
  <si>
    <t>Remoção de rodapé em madeira</t>
  </si>
  <si>
    <t>Remoção de grade</t>
  </si>
  <si>
    <t>Elaboração de Plano de Gestão de Resíduos</t>
  </si>
  <si>
    <t>Execução / Reconstituição de alvenaria de vedação com tijolo furado esp=9 cm</t>
  </si>
  <si>
    <t>sanitários e DML</t>
  </si>
  <si>
    <t>Fornecimento e montagem de divisória em granito para banheiro</t>
  </si>
  <si>
    <t>Fornecimento e instalação de porta de madeira de abrir semioca (dimensões 0,90 m x 2,10 m - completa com ferragem) para sanitário PNE, incluindo bate macas em chapa de inox escovado e barra de apoio em aço inox - folha da porta com acabamento em laminado melamínico padrão Imbuia Jade ou equivalente, alisar e aduelas em madeira com acabamento em pintura esmalte sintético na cor branco</t>
  </si>
  <si>
    <t>sanitários PNE</t>
  </si>
  <si>
    <t>Fornecimento e instalação de porta de madeira de abrir semioca (dimensões 0,80 m x 2,10 m - completa com ferragem) - folha da porta com acabamento em laminado melamínico padrão Imbuia Jade ou equivalente, alisar e aduelas em madeira com acabamento em pintura esmalte sintético na cor branco</t>
  </si>
  <si>
    <t>Fornecimento e instalação de porta de compensado revestida com laminado melamínico na cor branco, com dobradiça com mola para fixação em divisórias de granito, com targeta livre/ocupado, colocada em divisória de granito (dimensões 0,80 x 1,80m)</t>
  </si>
  <si>
    <t>Fornecimento e instalação de janela de abrir com 03 folhas tipo maximar (2,68x0,70/1,80) , perfis em ferro conforme detalhamento, acabamento com pintura esmalte cor a definir sobre base de zarcão (incluir preparação de superfície), vidro comum liso transparente 6mm</t>
  </si>
  <si>
    <t>Fornecimento e instalação de barras de apoio retas em aço inox escovado Ø=1.1/2'' comprimento 80cm</t>
  </si>
  <si>
    <t>sanitários PNE - bacias sanitárias</t>
  </si>
  <si>
    <t>Fornecimento e instalação de barras de apoio retas em aço inox escovado Ø=1.1/2'' comprimento 70cm</t>
  </si>
  <si>
    <t>Fornecimento e instalação de barras de apoio “U” em aço inox escovado Ø=1.1/2'' comprimento aproximado 80cm</t>
  </si>
  <si>
    <t>sanitários PNE - lavatórios</t>
  </si>
  <si>
    <t>Fornecimento e instalação de mola hidráulica aérea</t>
  </si>
  <si>
    <t>portas sanitários e DML</t>
  </si>
  <si>
    <t>Fornecimento e montagem de forro de gesso acartonado</t>
  </si>
  <si>
    <t>Fornecimento e aplicação de chapisco</t>
  </si>
  <si>
    <t>alvenarias novas+RASGOS</t>
  </si>
  <si>
    <t xml:space="preserve">Fornecimento e aplicação de emboço </t>
  </si>
  <si>
    <t>Fornecimento e aplicação de  reboco</t>
  </si>
  <si>
    <t xml:space="preserve">Fornecimento e aplicação de revestimento cerâmico </t>
  </si>
  <si>
    <t>sanitários e DML+RASGOS</t>
  </si>
  <si>
    <t xml:space="preserve">Rejuntamento  de parede de tijolos a vista existente </t>
  </si>
  <si>
    <t>Emassamento de forro em gesso com massa corrida à base de PVA com duas demãos e lixamento, para pintura PVA</t>
  </si>
  <si>
    <t xml:space="preserve">forros novos + sanca de gesso </t>
  </si>
  <si>
    <t>Aplicação de fundo selador PVA, uma demão</t>
  </si>
  <si>
    <t>forros novos e laje circulação</t>
  </si>
  <si>
    <t>Aplicação de fundo selador acrílico, uma demão</t>
  </si>
  <si>
    <t xml:space="preserve">Limpeza de parede de tijolos a vista existente </t>
  </si>
  <si>
    <t>Pintura acrílica sem emassamento, cor branco neve</t>
  </si>
  <si>
    <t>Pintura PVA sem emassamento</t>
  </si>
  <si>
    <t>Fornecimento e instalação de revestimento de piso em granito / mármore acabamento polido</t>
  </si>
  <si>
    <t>Fornecimento e instalação de revestimento de piso de granitina</t>
  </si>
  <si>
    <t>Fornecimento e instalação de rodapé em granito / mármore - h = 10 cm</t>
  </si>
  <si>
    <t>Soleira de granito cinza andorinha, lagura=15cm, e=2cm, assentada com argamassa de alta adesividade</t>
  </si>
  <si>
    <t>PISOS</t>
  </si>
  <si>
    <t>Impermeabilização de piso com três demãos de emulsão asfáltica </t>
  </si>
  <si>
    <t>Proteção mecânica / térmica</t>
  </si>
  <si>
    <t>Contrapiso de concreto regularizado</t>
  </si>
  <si>
    <t>sanitários, dml, circulação +RASGOS</t>
  </si>
  <si>
    <t xml:space="preserve">Fornecimento e instalação de Bacia convencional com saída horizontal, linha Ravena, cód. P 90 17, fabricante Deca, cor branca </t>
  </si>
  <si>
    <t>sanitários masculino e feminino</t>
  </si>
  <si>
    <t xml:space="preserve">Assento bacia plástico, linha Oval, cód. TPR/AS. cor branca, fabricante Astra </t>
  </si>
  <si>
    <t xml:space="preserve">sanitários </t>
  </si>
  <si>
    <t xml:space="preserve">Assento para bacia acessível, linha Vogue Plus Conforto, cód. AP 52,. cor branca, fabricante Deca </t>
  </si>
  <si>
    <t>Válvula descarga pública para bacia, linha Hydra Max, fabricante Deca ou equivalente, cromada,</t>
  </si>
  <si>
    <t>Fornecimento e instalação de válvula de descarga para mictório fechamento automático, linha Decamatic, cód. 2573C, fabricante Deca ou equivalente, cromada, ECO</t>
  </si>
  <si>
    <t>sanitário masculino</t>
  </si>
  <si>
    <t>Fornecimento e instalação de mictório com sifão integrado  cód. M 712 17, fabricante Deca ou equivalente, cor branca</t>
  </si>
  <si>
    <t>Fornecimento e instalação de  Torneira fechamento automático, linha Decamatic, cód. 1173C, fabricante Deca ou equivalente, cromada, Decamatic ECO</t>
  </si>
  <si>
    <t>sanitários masculino, feminino e PNEs</t>
  </si>
  <si>
    <t>Fornecimento e instalação de espelho (lapidado e polido) com moldura - sanitários</t>
  </si>
  <si>
    <t>Suporte para papel higiênico ABS branco/cinza, ref.480002, linha classic Dixhigiene.</t>
  </si>
  <si>
    <t>Suporte para papel toalha, ABS branco/cinza, ref.480005, Dixhigiene.</t>
  </si>
  <si>
    <t>Suporte sabonete líqüido com reservatório 800ml, ABS branco/cinza, ref.480008, Dixhigiene.</t>
  </si>
  <si>
    <t>Prateleiras de apoio dos sanitários em granito cinza andorinha ou  equivalente, espessura de 2 cm, com todas as faces aparentes com acabamento polido</t>
  </si>
  <si>
    <t>Fornecimento e instalação de torneira para uso geral  c/arejador, linha standard, cód. 1152 C39, fabricante Deca ou equivalente, acabamento cromado</t>
  </si>
  <si>
    <t>Fornecimento e instalação de  Tanque de louça 30 litros, cód. TQ02, fabricante Deca ou equivalente, cor branca</t>
  </si>
  <si>
    <t>DML</t>
  </si>
  <si>
    <t>Fornecimento e instalação de rabicho metal</t>
  </si>
  <si>
    <t>Fornecimento e instalação de sifão cromado</t>
  </si>
  <si>
    <t>Fornecimento e instalação de lavatório pequeno em louça com coluna suspensa, linha Conforto, ref. L510/C510, cor branco, Deca ou equivalente técnico</t>
  </si>
  <si>
    <t>Bacia convencional linha Conforto, Deca ou equivalente, ref. P510, sem abertura frontal, cor branco ou equivalente técnico, inclusive fixação cromada</t>
  </si>
  <si>
    <t>Fornecimento e instalação de Lavatório sem coluna, linha Ravena, cód. L 915, fabricante Deca ou equivalente , cor branca</t>
  </si>
  <si>
    <t xml:space="preserve">Instalação de bebedouro acessível </t>
  </si>
  <si>
    <t>Sanitários</t>
  </si>
  <si>
    <t>Circulação Sanitários</t>
  </si>
  <si>
    <t>Sanitários e DML</t>
  </si>
  <si>
    <t>Sanitários PNE</t>
  </si>
  <si>
    <t>Circulação Sanitários, Sanitários e DML</t>
  </si>
  <si>
    <t>QD-IT.S</t>
  </si>
  <si>
    <t>Luminária de sobrepor para 2 lâmpadas fluorescentes tubulares de 32W, temperatura da cor 4000K e 2700 lumens. Reator Eletrônico com alto fator de potência, IRC &gt; 85%, UGRL &lt;19.Corpo em chapa de aço tratada com acabamento em pintura eletrostática na cor branca. Refletor e aletas parabólicas em alumínio anodizado de alto brilho. Alojamento do reator na cabeceira. Equipada com porta-lâmpada antivibratório em policarbonato, com trava de segurança e proteção contra aquecimento nos contatos,  completa com reator e lâmpadas. Referência: 305023230B da Itaim ou equivalentes técnicos.</t>
  </si>
  <si>
    <t>Fornecimento e Instalação de Luminária para Lâmpadas Fluorescentes Tubulares T8 de sobrepor 2x32W com aletas e refletor de alumínio, com Lâmpadas Fluorescentes Tubulares 32W (2700lm-4000K), Reator Eletrônico AFP 2x32W / 220V, conexões, fixações e acessórios.</t>
  </si>
  <si>
    <t xml:space="preserve">Sanitários </t>
  </si>
  <si>
    <t>Luminária circular de embutir com vidro recuado completa com duas lâmpadas fluorescentes compactas de 18W (4 pinos) com reator eletrônico simples de alta freqüência, alto fator de potência e baixa taxa de distorção harmônica. Referência: Âmbar da Itaim ou equivalentes técnicos.</t>
  </si>
  <si>
    <t>Luminária de embutir com lâmpada halógena PAR 20 de 50W. Referência:  80021B710B da IPY - ITAIM ou equivalentes técnicos.</t>
  </si>
  <si>
    <t>Fornecimento e instalação de sensores de presença infravermelhos para fixação no teto.</t>
  </si>
  <si>
    <t>Fornecimento e instalação de Plug's Macho e Fêmea 2P+T 10A branco, com rabicho de 1,5m de cabo PP #3x2,5mm². Ref. 6158 01 e 6158 04 Pial ou equivalente técnico. Para luminárias instaladas no forro.</t>
  </si>
  <si>
    <t>Interruptor simples completo,10A.  Ref.: Tramontina, Pial Legrand ou equivalentes técnicos.</t>
  </si>
  <si>
    <t>Interruptor simples 10A com 1 módulo de tomada, 2P+T 20A no mesmo espelho. Ref.: Tramontina, Pial Legrand ou equivalentes técnicos.</t>
  </si>
  <si>
    <t>TOMADAS</t>
  </si>
  <si>
    <t>Fornecimento e instalação de tomada padrão brasileiro na cor preta 20 A / 250 V. Ref.: Tramontina, Pial Legrand ou equivalentes técnicos.</t>
  </si>
  <si>
    <t>Fornecimento e Instalação de Alarme de Sinalização de Emergência para Sanitário - sinalização sonora e visual</t>
  </si>
  <si>
    <t>Quadro de distribuição de sobrepor 24 módulos (2x12) TTA, com placa de montagem, porta interna perfis verticais com trilhos DIN - Referência: TTW01-QD da WEG ou equivalentes técnicos.</t>
  </si>
  <si>
    <t>Disjuntor 1 x 16 A, curva C, Icc = 10kA. Ref.: MDW-C16 da WEG ou equivalentes técnicos.</t>
  </si>
  <si>
    <t>Disjuntor 3 x 25 A, curva C, Icc = 10kA. Ref.: MDW-C25-3 da WEG ou equivalentes técnicos.</t>
  </si>
  <si>
    <t>Disjuntor 3 x 32 A, curva C, Icc = 16kA. Ref.: DWB160B32-3DX da WEG ou equivalentes técnicos.</t>
  </si>
  <si>
    <t>Interruptor Diferencial Tetrapolar 4 x 25 A / 30 mA. Ref.: RDW30-25-4 da WEG ou equivalentes técnicos.</t>
  </si>
  <si>
    <t>Fornecimento e Instalação de Sistema de proteção. Incluso: Protetor contra surto (F) 45kA/275 V com 1 metro de cabos flexíveis de bitola #16mm². Ref.: SPW275-45 da WEG ou equivalentes técnicos.</t>
  </si>
  <si>
    <t>Exaustor axial de baixo nível sonoro, IP-45, com comporta anti-retorno incorporada, motor 220 V, equipado com temporizador regulável. Vazão: 150 m³/h Pressão mínima requerida: 60 Pa. Modelo de referência: Silent-300 CRZ da Soler Palau, ou equivalente</t>
  </si>
  <si>
    <t>Veneziana de descarga de ar em PVC, diâmetro 150 mm. Referência: Tigre ou equivalente</t>
  </si>
  <si>
    <t>Tubo de PVC, linha esgoto, diâmetro 150mm, incluindo todos os insumos e acessórios para instalação. Referência: Tigre ou equivalente</t>
  </si>
  <si>
    <t>Curva 90° de PVC, linha esgoto, diâmetro 150mm, incluindo todos os insumos e acessórios para instalação. Referência: Tigre ou equivalente</t>
  </si>
  <si>
    <t>Fornecimento e instalação Registro de gaveta bruto 2"</t>
  </si>
  <si>
    <t>Fornecimento e instalação Registro de gaveta bruto 2.1/2"</t>
  </si>
  <si>
    <t>Fornecimento e instalação registro de gaveta com canopla cromada 1.1/2"</t>
  </si>
  <si>
    <t>Fornecimento e instalação registro de gaveta com canopla cromada 1"</t>
  </si>
  <si>
    <t>Fornecimento e instalação registro de gaveta com canopla cromada 3/4"</t>
  </si>
  <si>
    <t>Fornecimento e instalação  Adaptador sold. Curto com bolsa e rosca para registro 3/4"</t>
  </si>
  <si>
    <t>Fornecimento e instalação Adaptador sold. Curto com bolsa e rosca para registro 1.1/2"</t>
  </si>
  <si>
    <t>Fornecimento e instalação Adaptador sold. Curto com bolsa e rosca para registro 2"</t>
  </si>
  <si>
    <t>Fornecimento e instalação Bucha de redução sold. Curta 50- 60mm</t>
  </si>
  <si>
    <t>Fornecimento e instalação Joelho de 90° soldavel  25mm</t>
  </si>
  <si>
    <t>Fornecimento e instalação Joelho de 90° soldavel  50mm</t>
  </si>
  <si>
    <t>Fornecimento e instalação Joelho de 90° soldavel  60mm</t>
  </si>
  <si>
    <t>Fornecimento e instalação Luva soldavel 25mm</t>
  </si>
  <si>
    <t>Fornecimento e instalação Te 90° soldavél  25mm</t>
  </si>
  <si>
    <t>Fornecimento e instalação Te 90° soldavél  50mm</t>
  </si>
  <si>
    <t>Fornecimento e instalação Te 90° soldavél  60mm</t>
  </si>
  <si>
    <t>Fornecimento e instalação Te de redução 90° soldavél  50-25mm</t>
  </si>
  <si>
    <t>Fornecimento e instalação de te de redução 90°  25mm-1/2"</t>
  </si>
  <si>
    <t>Fornecimento e instalação de tubo de pvc 40mm</t>
  </si>
  <si>
    <t>Fornecimento e instalação de tubo de pvc 50mm</t>
  </si>
  <si>
    <t>Fornecimento e instalação de tubo de pvc 75mm</t>
  </si>
  <si>
    <t>Fornecimento e instalação de tubo de pvc 100mm</t>
  </si>
  <si>
    <t xml:space="preserve">Fornecimento e instalação de caixa sifonada com tampa cega150x150x50 </t>
  </si>
  <si>
    <t xml:space="preserve">Fornecimento e instalação junção 40mm </t>
  </si>
  <si>
    <t xml:space="preserve">Fornecimento e instalação junção 50mm </t>
  </si>
  <si>
    <t xml:space="preserve">Fornecimento e instalação junção 100mm </t>
  </si>
  <si>
    <t>Fornecimento e instalação junção 100mmx50mm</t>
  </si>
  <si>
    <t>Fornecimento e instalação redução de 50mmx75mm</t>
  </si>
  <si>
    <t>Fornecimento e instalação redução de te 50mmx75mm</t>
  </si>
  <si>
    <t>Fornecimento e instalação plug 100mm</t>
  </si>
  <si>
    <t>Fornecimento e instalação terminal de ventilação 75mm</t>
  </si>
  <si>
    <t>Fornecimento e instalação de Tubo de pvc marrom soldavel 75mm</t>
  </si>
  <si>
    <t>Fornecimento e instalação de Tubo de pvc marrom soldavel 60mm</t>
  </si>
  <si>
    <t>Fornecimento e instalação de Tubo de pvc marrom soldavel 50mm</t>
  </si>
  <si>
    <t>Fornecimento e instalação de Tubo de pvc marrom soldavel 32mm</t>
  </si>
  <si>
    <t>Fornecimento e instalação de Tubo de pvc marrom soldavel 25mm</t>
  </si>
  <si>
    <t>Limpeza final</t>
  </si>
  <si>
    <t xml:space="preserve">Atualização de projetos - "As built" </t>
  </si>
  <si>
    <t>und</t>
  </si>
  <si>
    <t>UNB - UNIVERSIDADE DE BRASÍLIA</t>
  </si>
  <si>
    <t>UNIDADE VINCULADA AO SERVIÇO.:</t>
  </si>
  <si>
    <t>SANITÁRIOS ICC</t>
  </si>
  <si>
    <t>Nº DA OS / OFB:</t>
  </si>
  <si>
    <t>OS 12</t>
  </si>
  <si>
    <t>NOME DO PROJETO:</t>
  </si>
  <si>
    <t>REFORMA DOS SANITÁRIOS ICC</t>
  </si>
  <si>
    <t>VERSÃO:</t>
  </si>
  <si>
    <t xml:space="preserve">PRAZO DE CONCLUSÃO OBRA: </t>
  </si>
  <si>
    <t>SINAPI 74220/1</t>
  </si>
  <si>
    <t>SINAPI 95135</t>
  </si>
  <si>
    <t>SINAPI  91222</t>
  </si>
  <si>
    <t>SINAPI  90446</t>
  </si>
  <si>
    <t>SINAPI 72215</t>
  </si>
  <si>
    <t>SINAPI 85407</t>
  </si>
  <si>
    <t>SINAPI 85376</t>
  </si>
  <si>
    <t>SINAPI 72132</t>
  </si>
  <si>
    <t>SINAPI 94581</t>
  </si>
  <si>
    <t>SINAPI 87825</t>
  </si>
  <si>
    <t>SINAPI 87267</t>
  </si>
  <si>
    <t>SINAPI 88483</t>
  </si>
  <si>
    <t>SINAPI 88485</t>
  </si>
  <si>
    <t>SINAPI 73806</t>
  </si>
  <si>
    <t>SINAPI 88487</t>
  </si>
  <si>
    <t>SINAPI 84190</t>
  </si>
  <si>
    <t>SINAPI 6225</t>
  </si>
  <si>
    <t>SINAPI 73465</t>
  </si>
  <si>
    <t>SINAPI 95469</t>
  </si>
  <si>
    <t>SINAPI 40729</t>
  </si>
  <si>
    <t>SINAPI 74234</t>
  </si>
  <si>
    <t>SINAPI 74125/2</t>
  </si>
  <si>
    <t>SINAPI 95544</t>
  </si>
  <si>
    <t>SINAPI 95547</t>
  </si>
  <si>
    <t>SINAPI 86906</t>
  </si>
  <si>
    <t>SINAPI 86872</t>
  </si>
  <si>
    <t>SINAPI 86886</t>
  </si>
  <si>
    <t>SINAPI 86881</t>
  </si>
  <si>
    <t>SINAPI 86903</t>
  </si>
  <si>
    <t>SINAPI 95472</t>
  </si>
  <si>
    <t>SINAPI 86943</t>
  </si>
  <si>
    <t>SINAPI 91871</t>
  </si>
  <si>
    <t>SINAPI 91872</t>
  </si>
  <si>
    <t>SINAPI 95805</t>
  </si>
  <si>
    <t>SINAPI 95806</t>
  </si>
  <si>
    <t>SINAPI 91926</t>
  </si>
  <si>
    <t>SINAPI 91931</t>
  </si>
  <si>
    <t>SINAPI 73953</t>
  </si>
  <si>
    <t>SINAPI 91952</t>
  </si>
  <si>
    <t>SINAPI 91991</t>
  </si>
  <si>
    <t>SINAPI 93656</t>
  </si>
  <si>
    <t>SINAPI 93654</t>
  </si>
  <si>
    <t>SINAPI 89580</t>
  </si>
  <si>
    <t>SINAPI 94498</t>
  </si>
  <si>
    <t>SINAPI 94499</t>
  </si>
  <si>
    <t>SINAPI 94794</t>
  </si>
  <si>
    <t>SINAPI 94792</t>
  </si>
  <si>
    <t>SINAPI 89987</t>
  </si>
  <si>
    <t>SINAPI 89383</t>
  </si>
  <si>
    <t>SINAPI 89570</t>
  </si>
  <si>
    <t>SINAPI 89610</t>
  </si>
  <si>
    <t>SINAPI 89362</t>
  </si>
  <si>
    <t>SINAPI 89501</t>
  </si>
  <si>
    <t>SINAPI 89505</t>
  </si>
  <si>
    <t>SINAPI 89378</t>
  </si>
  <si>
    <t>SINAPI 89440</t>
  </si>
  <si>
    <t>SINAPI 89625</t>
  </si>
  <si>
    <t>SINAPI 89628</t>
  </si>
  <si>
    <t>SINAPI 89627</t>
  </si>
  <si>
    <t>SINAPI 89449</t>
  </si>
  <si>
    <t>SINAPI 89711</t>
  </si>
  <si>
    <t>SINAPI 89712</t>
  </si>
  <si>
    <t>SINAPI 89713</t>
  </si>
  <si>
    <t>SINAPI 89714</t>
  </si>
  <si>
    <t>SINAPI 89708</t>
  </si>
  <si>
    <t>SINAPI 89726</t>
  </si>
  <si>
    <t>SINAPI 89732</t>
  </si>
  <si>
    <t>SINAPI 89746</t>
  </si>
  <si>
    <t>SINAPI 89724</t>
  </si>
  <si>
    <t>SINAPI 89731</t>
  </si>
  <si>
    <t>SINAPI 89737</t>
  </si>
  <si>
    <t>SINAPI 89744</t>
  </si>
  <si>
    <t>SINAPI 89783</t>
  </si>
  <si>
    <t>SINAPI 89785</t>
  </si>
  <si>
    <t>SINAPI89797</t>
  </si>
  <si>
    <t>SINAPI 89825</t>
  </si>
  <si>
    <t>SINAPI 9537</t>
  </si>
  <si>
    <t>Administração Central (A)</t>
  </si>
  <si>
    <t>Despesas Financeiras (B)</t>
  </si>
  <si>
    <t>Seguros (S) + Garantia (C)</t>
  </si>
  <si>
    <t>Lucro (E)</t>
  </si>
  <si>
    <t>OBS: BASE DE DADOS SINAPI/PINI/SCO RJ JAN/2017</t>
  </si>
  <si>
    <t>CARIMBO</t>
  </si>
  <si>
    <t>ASSINATURA DO COORDENADOR DA CBR</t>
  </si>
  <si>
    <t>Arq. Diego Schmidt.</t>
  </si>
  <si>
    <t>CAU/BR A38704-5</t>
  </si>
  <si>
    <t>Emassamento de parede interna com massa acrílica com duas demãos e lixamento, para pintura acrílica</t>
  </si>
  <si>
    <t>98.018.ESP.TCPO.SIN</t>
  </si>
  <si>
    <t>98.017.ESP.TCPO.SIN</t>
  </si>
  <si>
    <t>98.016.ESP.TCPO.SIN</t>
  </si>
  <si>
    <t>98.019.ESP.TCPO.SIN</t>
  </si>
  <si>
    <t>02.002.0032.SER.CBR</t>
  </si>
  <si>
    <t>SINAPI 90440</t>
  </si>
  <si>
    <t>02.002.0031.SER.CBR</t>
  </si>
  <si>
    <t>02.002.0002.SER.CBR</t>
  </si>
  <si>
    <t>02.002.0081.SER.CBR</t>
  </si>
  <si>
    <t>02.002.0002.S.CBR.RJ</t>
  </si>
  <si>
    <t>26.004.0001.S.CBR.RJ</t>
  </si>
  <si>
    <t>21.002.0001.S.CBR.RJ</t>
  </si>
  <si>
    <t>SINAPI 96114</t>
  </si>
  <si>
    <t>98.005.ESP.TCPO.SIN</t>
  </si>
  <si>
    <t>98.006.ESP.TCPO.SIN</t>
  </si>
  <si>
    <t>98.010.ESP.TCPO.SIN</t>
  </si>
  <si>
    <t>98.007.ESP.TCPO.SIN</t>
  </si>
  <si>
    <t>26.001.0001.S.CBR.RJ</t>
  </si>
  <si>
    <t>26.001.0002.S.CBR.RJ</t>
  </si>
  <si>
    <t>26.011.0001.S.CBR.RJ</t>
  </si>
  <si>
    <t>SINAPI 86912</t>
  </si>
  <si>
    <t>26.015.0001.S.CBR.RJ</t>
  </si>
  <si>
    <t>26.002.0001.S.CBR.RJ</t>
  </si>
  <si>
    <t>26.017.0001.S.CBR.RJ</t>
  </si>
  <si>
    <t>98.011.ESP.TCPO.SIN</t>
  </si>
  <si>
    <t>98.012.ESP.TCPO.SIN</t>
  </si>
  <si>
    <t>98.013.ESP.TCPO.SIN</t>
  </si>
  <si>
    <t>16.008.0001.S.CBR.RJ</t>
  </si>
  <si>
    <t>16.008.0002.S.CBR.RJ</t>
  </si>
  <si>
    <t>16.008.0003.S.CBR.RJ</t>
  </si>
  <si>
    <t>16.007.0001.S.CBR.RJ</t>
  </si>
  <si>
    <t>16.004.0001.S.CBR.RJ</t>
  </si>
  <si>
    <t>SINAPI 91953</t>
  </si>
  <si>
    <t>16.016.0001.S.CBR.RJ</t>
  </si>
  <si>
    <t>16.009.0001.S.CBR.RJ</t>
  </si>
  <si>
    <t>16.002.0002.S.CBR.RJ</t>
  </si>
  <si>
    <t>16.007.0002.S.CBR.RJ</t>
  </si>
  <si>
    <t>16.002.0001.S.CBR.RJ</t>
  </si>
  <si>
    <t>19.004.0001.S.CBR.RJ</t>
  </si>
  <si>
    <t>98.014.ESP.TCPO.SIN</t>
  </si>
  <si>
    <t>98.015.ESP.TCPO.SIN</t>
  </si>
  <si>
    <t>14.001.0001.S.CBR.RJ</t>
  </si>
  <si>
    <t>SINAPI 89451</t>
  </si>
  <si>
    <t>SINAPI 89450</t>
  </si>
  <si>
    <t>SINAPI 89447</t>
  </si>
  <si>
    <t>SINAPI 89446</t>
  </si>
  <si>
    <t>32.004.0001.SER.CBR</t>
  </si>
  <si>
    <t>02.004.0002.S.CBR.RJ</t>
  </si>
  <si>
    <t>SINAPI 73801</t>
  </si>
  <si>
    <t>PREÇO(R$)</t>
  </si>
  <si>
    <t>PREÇO TOTAL (R$)</t>
  </si>
  <si>
    <r>
      <t>(U)</t>
    </r>
    <r>
      <rPr>
        <b/>
        <sz val="10"/>
        <color indexed="8"/>
        <rFont val="Arial"/>
        <family val="2"/>
      </rPr>
      <t>74220/1U</t>
    </r>
  </si>
  <si>
    <t>TAPUME DE CHAPA DE MADEIRA COMPENSADA, E= 6MM, COM PINTURA A CAL E REAPROVEITAMENTO DE 2X</t>
  </si>
  <si>
    <t>(U)1106</t>
  </si>
  <si>
    <t>CAL HIDRATADA CH-I PARA ARGAMASSAS</t>
  </si>
  <si>
    <t>KG</t>
  </si>
  <si>
    <t>(U)1351</t>
  </si>
  <si>
    <t>CHAPA DE MADEIRA COMPENSADA RESINADA PARA FORMA DE CONCRETO, DE *2,2 X 1,1* M, E = 6 MM</t>
  </si>
  <si>
    <t>(U)4491</t>
  </si>
  <si>
    <t>PECA DE MADEIRA NATIVA / REGIONAL 7,5 X 7,5CM (3X3) NAO APARELHADA (P/FORMA)</t>
  </si>
  <si>
    <t>(U)5061</t>
  </si>
  <si>
    <t>PREGO DE ACO POLIDO COM CABECA 18 X 27 (2 1/2 X 10)</t>
  </si>
  <si>
    <t>(U)5333</t>
  </si>
  <si>
    <t>OLEO DE LINHACA</t>
  </si>
  <si>
    <t>(U)88262U</t>
  </si>
  <si>
    <t>CARPINTEIRO DE FORMAS COM ENCARGOS COMPLEMENTARES</t>
  </si>
  <si>
    <t>(U)88310U</t>
  </si>
  <si>
    <t>PINTOR COM ENCARGOS COMPLEMENTARES</t>
  </si>
  <si>
    <t>(U)88316U</t>
  </si>
  <si>
    <t>SERVENTE COM ENCARGOS COMPLEMENTARES</t>
  </si>
  <si>
    <t>PREÇO (mão-de-obra):</t>
  </si>
  <si>
    <t>PREÇO (material):</t>
  </si>
  <si>
    <t>PREÇO TOTAL (unit.):</t>
  </si>
  <si>
    <t>LS(%): 85,16</t>
  </si>
  <si>
    <t>TOTAL TAXA:</t>
  </si>
  <si>
    <t>PREÇO TOTAL MAT. (c/ taxa):</t>
  </si>
  <si>
    <t>PREÇO TOTAL M.O. (c/ taxa):</t>
  </si>
  <si>
    <t>PREÇO TOTAL (c/ taxa):</t>
  </si>
  <si>
    <r>
      <t>(U)</t>
    </r>
    <r>
      <rPr>
        <b/>
        <sz val="10"/>
        <color indexed="8"/>
        <rFont val="Arial"/>
        <family val="2"/>
      </rPr>
      <t>02.002.0002.S.CBR.RJ</t>
    </r>
  </si>
  <si>
    <t>Remoção de grades</t>
  </si>
  <si>
    <t>(U)88309U</t>
  </si>
  <si>
    <t>PEDREIRO COM ENCARGOS COMPLEMENTARES</t>
  </si>
  <si>
    <t>Insumos e coeficientes estimados a fim de atender a demanda prevista.</t>
  </si>
  <si>
    <r>
      <t>(U)</t>
    </r>
    <r>
      <rPr>
        <b/>
        <sz val="10"/>
        <color indexed="8"/>
        <rFont val="Arial"/>
        <family val="2"/>
      </rPr>
      <t>02.002.0002.SER.CBR</t>
    </r>
  </si>
  <si>
    <t>Remoção de divisória leve tipo BP Plus em laminado melamínico sem reaproveitamento</t>
  </si>
  <si>
    <t>(U)88261U</t>
  </si>
  <si>
    <t>CARPINTEIRO DE ESQUADRIA COM ENCARGOS COMPLEMENTARES</t>
  </si>
  <si>
    <t>Baseado na extinta composição do SINAPI 85378 - JAN2016</t>
  </si>
  <si>
    <t>(U)88247U</t>
  </si>
  <si>
    <t>AUXILIAR DE ELETRICISTA COM ENCARGOS COMPLEMENTARES</t>
  </si>
  <si>
    <t>(U)88264U</t>
  </si>
  <si>
    <t>ELETRICISTA COM ENCARGOS COMPLEMENTARES</t>
  </si>
  <si>
    <t>Materiais, mão-de-obra e coeficientes selecionados a fim de atender a atividade prevista.</t>
  </si>
  <si>
    <r>
      <t>(U)</t>
    </r>
    <r>
      <rPr>
        <b/>
        <sz val="10"/>
        <color indexed="8"/>
        <rFont val="Arial"/>
        <family val="2"/>
      </rPr>
      <t>02.002.0031.SER.CBR</t>
    </r>
  </si>
  <si>
    <t>(U)88273U</t>
  </si>
  <si>
    <t>MARCENEIRO COM ENCARGOS COMPLEMENTARES</t>
  </si>
  <si>
    <r>
      <t>(U)</t>
    </r>
    <r>
      <rPr>
        <b/>
        <sz val="10"/>
        <color indexed="8"/>
        <rFont val="Arial"/>
        <family val="2"/>
      </rPr>
      <t>02.002.0032.SER.CBR</t>
    </r>
  </si>
  <si>
    <t>Fornecimento, instalação e remoção de lona plástica para proteção dos móveis, equipamentos e piso</t>
  </si>
  <si>
    <t>(U)3777</t>
  </si>
  <si>
    <t>LONA PLASTICA PRETA, E= 150 MICRA</t>
  </si>
  <si>
    <t>Referência: Adaptado de SINAPI 68053, com substituição de mão de obra, considerado dois serventes - coef. 0,2 cada.</t>
  </si>
  <si>
    <r>
      <t>(U)</t>
    </r>
    <r>
      <rPr>
        <b/>
        <sz val="10"/>
        <color indexed="8"/>
        <rFont val="Arial"/>
        <family val="2"/>
      </rPr>
      <t>02.002.0081.SER.CBR</t>
    </r>
  </si>
  <si>
    <t>(U)88243U</t>
  </si>
  <si>
    <t>AJUDANTE ESPECIALIZADO COM ENCARGOS COMPLEMENTARES</t>
  </si>
  <si>
    <r>
      <t>(U)</t>
    </r>
    <r>
      <rPr>
        <b/>
        <sz val="10"/>
        <color indexed="8"/>
        <rFont val="Arial"/>
        <family val="2"/>
      </rPr>
      <t>02.004.0002.S.CBR.RJ</t>
    </r>
  </si>
  <si>
    <t>Referência SINAPI 85411</t>
  </si>
  <si>
    <r>
      <t>(U)</t>
    </r>
    <r>
      <rPr>
        <b/>
        <sz val="10"/>
        <color indexed="8"/>
        <rFont val="Arial"/>
        <family val="2"/>
      </rPr>
      <t>72215U</t>
    </r>
  </si>
  <si>
    <t>DEMOLICAO DE ALVENARIA DE ELEMENTOS CERAMICOS VAZADOS</t>
  </si>
  <si>
    <t>M3</t>
  </si>
  <si>
    <r>
      <t>(U)</t>
    </r>
    <r>
      <rPr>
        <b/>
        <sz val="10"/>
        <color indexed="8"/>
        <rFont val="Arial"/>
        <family val="2"/>
      </rPr>
      <t>73801/1U</t>
    </r>
  </si>
  <si>
    <t>DEMOLICAO DE PISO DE ALTA RESISTENCIA</t>
  </si>
  <si>
    <r>
      <t>(U)</t>
    </r>
    <r>
      <rPr>
        <b/>
        <sz val="10"/>
        <color indexed="8"/>
        <rFont val="Arial"/>
        <family val="2"/>
      </rPr>
      <t>85376U</t>
    </r>
  </si>
  <si>
    <t>DEMOLICAO DE PISO VINILICO</t>
  </si>
  <si>
    <r>
      <t>(U)</t>
    </r>
    <r>
      <rPr>
        <b/>
        <sz val="10"/>
        <color indexed="8"/>
        <rFont val="Arial"/>
        <family val="2"/>
      </rPr>
      <t>85407U</t>
    </r>
  </si>
  <si>
    <t>REMOCAO DE FIACAO ELETRICA</t>
  </si>
  <si>
    <r>
      <t>(U)</t>
    </r>
    <r>
      <rPr>
        <b/>
        <sz val="10"/>
        <color indexed="8"/>
        <rFont val="Arial"/>
        <family val="2"/>
      </rPr>
      <t>90446U</t>
    </r>
  </si>
  <si>
    <t>RASGO EM CONTRAPISO PARA RAMAIS/ DISTRIBUIÇÃO COM DIÂMETROS MAIORES QUE 75 MM. AF_05/2015</t>
  </si>
  <si>
    <t>(U)5795U</t>
  </si>
  <si>
    <t>MARTELETE OU ROMPEDOR PNEUMÁTICO MANUAL, 28 KG, COM SILENCIADOR - CHP DIURNO. AF_07/2016</t>
  </si>
  <si>
    <t>CHP</t>
  </si>
  <si>
    <t>(U)5952U</t>
  </si>
  <si>
    <t>MARTELETE OU ROMPEDOR PNEUMÁTICO MANUAL, 28 KG, COM SILENCIADOR - CHI DIURNO. AF_07/2016</t>
  </si>
  <si>
    <t>CHI</t>
  </si>
  <si>
    <t>(U)88248U</t>
  </si>
  <si>
    <t>AUXILIAR DE ENCANADOR OU BOMBEIRO HIDRÁULICO COM ENCARGOS COMPLEMENTARES</t>
  </si>
  <si>
    <t>(U)88267U</t>
  </si>
  <si>
    <t>ENCANADOR OU BOMBEIRO HIDRÁULICO COM ENCARGOS COMPLEMENTARES</t>
  </si>
  <si>
    <r>
      <t>(U)</t>
    </r>
    <r>
      <rPr>
        <b/>
        <sz val="10"/>
        <color indexed="8"/>
        <rFont val="Arial"/>
        <family val="2"/>
      </rPr>
      <t>91222U</t>
    </r>
  </si>
  <si>
    <t>RASGO EM ALVENARIA PARA RAMAIS/ DISTRIBUIÇÃO COM DIÂMETROS MAIORES QUE 40 MM E MENORES OU IGUAIS A 75 MM. AF_05/2015</t>
  </si>
  <si>
    <t>Remoção de esquadria de madeira, inclusive batente</t>
  </si>
  <si>
    <r>
      <t>(U)</t>
    </r>
    <r>
      <rPr>
        <b/>
        <sz val="10"/>
        <color indexed="8"/>
        <rFont val="Arial"/>
        <family val="2"/>
      </rPr>
      <t>95135U</t>
    </r>
  </si>
  <si>
    <r>
      <t>(U)</t>
    </r>
    <r>
      <rPr>
        <b/>
        <sz val="10"/>
        <color indexed="8"/>
        <rFont val="Arial"/>
        <family val="2"/>
      </rPr>
      <t>90778U</t>
    </r>
  </si>
  <si>
    <t>ENGENHEIRO CIVIL DE OBRA PLENO COM ENCARGOS COMPLEMENTARES</t>
  </si>
  <si>
    <t>(U)2707</t>
  </si>
  <si>
    <t>ENGENHEIRO CIVIL DE OBRA PLENO</t>
  </si>
  <si>
    <t>(U)88237U</t>
  </si>
  <si>
    <t>EPI (ENCARGOS COMPLEMENTARES) - HORISTA</t>
  </si>
  <si>
    <t>(U)95403U</t>
  </si>
  <si>
    <t>CURSO DE CAPACITAÇÃO PARA ENGENHEIRO CIVIL DE OBRA PLENO (ENCARGOS COMPLEMENTARES) - HORISTA</t>
  </si>
  <si>
    <t>MESTRE DE OBRAS COM ENCARGOS COMPLEMENTARES</t>
  </si>
  <si>
    <r>
      <t>(U)</t>
    </r>
    <r>
      <rPr>
        <b/>
        <sz val="10"/>
        <color indexed="8"/>
        <rFont val="Arial"/>
        <family val="2"/>
      </rPr>
      <t>90440U</t>
    </r>
  </si>
  <si>
    <t>FURO EM CONCRETO PARA DIÂMETROS MAIORES QUE 40 MM E MENORES OU IGUAIS A 75 MM. AF_05/2015</t>
  </si>
  <si>
    <t>ALVENARIA EM TIJOLO CERAMICO MACICO 5X10X20CM 1/2 VEZ (ESPESSURA 10CM), ASSENTADO COM ARGAMASSA TRACO 1:2:8 (CIMENTO, CAL E AREIA)</t>
  </si>
  <si>
    <t>(U)7258</t>
  </si>
  <si>
    <t>TIJOLO CERAMICO MACICO *5 X 10 X 20* CM</t>
  </si>
  <si>
    <t>(U)87335U</t>
  </si>
  <si>
    <t>ARGAMASSA TRAÇO 1:2:8 (CIMENTO, CAL E AREIA MÉDIA) PARA EMBOÇO/MASSA ÚNICA/ASSENTAMENTO DE ALVENARIA DE VEDAÇÃO, PREPARO MECÂNICO COM MISTURADOR DE EIXO HORIZONTAL DE 300 KG. AF_06/2014</t>
  </si>
  <si>
    <t>(U)1380</t>
  </si>
  <si>
    <t>CIMENTO BRANCO</t>
  </si>
  <si>
    <t>(U)88274U</t>
  </si>
  <si>
    <t>MARMORISTA/GRANITEIRO COM ENCARGOS COMPLEMENTARES</t>
  </si>
  <si>
    <t>(U)88631U</t>
  </si>
  <si>
    <t>ARGAMASSA TRAÇO 1:4 (CIMENTO E AREIA MÉDIA), PREPARO MANUAL. AF_08/2014</t>
  </si>
  <si>
    <r>
      <t>(U)</t>
    </r>
    <r>
      <rPr>
        <b/>
        <sz val="10"/>
        <color indexed="8"/>
        <rFont val="Arial"/>
        <family val="2"/>
      </rPr>
      <t>98.007.ESP.TCPO.SIN</t>
    </r>
  </si>
  <si>
    <t>Proteção mecânica de superfície sujeita a pouco trânsito com arg. de cimento e areia traço 1:7 # 3 cm</t>
  </si>
  <si>
    <t>(U)1379</t>
  </si>
  <si>
    <t>CIMENTO PORTLAND COMPOSTO CP II-32</t>
  </si>
  <si>
    <t>(U)370</t>
  </si>
  <si>
    <t>AREIA MEDIA - POSTO JAZIDA/FORNECEDOR (RETIRADO NA JAZIDA, SEM TRANSPORTE)</t>
  </si>
  <si>
    <t>(U)38366</t>
  </si>
  <si>
    <t>PAPEL KRAFT BETUMADO</t>
  </si>
  <si>
    <r>
      <t>(U)</t>
    </r>
    <r>
      <rPr>
        <b/>
        <sz val="10"/>
        <color indexed="8"/>
        <rFont val="Arial"/>
        <family val="2"/>
      </rPr>
      <t>6225U</t>
    </r>
  </si>
  <si>
    <t>IMPERMEABILIZACAO DE CALHAS/LAJES DESCOBERTAS, COM EMULSAO ASFALTICA COM ELASTOMEROS, 3 DEMAOS</t>
  </si>
  <si>
    <t>(U)626</t>
  </si>
  <si>
    <t>MANTA LIQUIDA DE BASE ASFALTICA MODIFICADA COM A ADICAO DE ELASTOMEROS DILUIDOS EM SOLVENTE ORGANICO, APLICACAO A FRIO (MEMBRANA IMPERMEABILIZANTE ASFASTICA)</t>
  </si>
  <si>
    <r>
      <t>(U)</t>
    </r>
    <r>
      <rPr>
        <b/>
        <sz val="10"/>
        <color indexed="8"/>
        <rFont val="Arial"/>
        <family val="2"/>
      </rPr>
      <t>12.001.0001.S.CBR.RJ</t>
    </r>
  </si>
  <si>
    <t>(U)11561</t>
  </si>
  <si>
    <t>MOLA AEREA FECHA PORTA, PARA PORTAS COM LARGURA ATE 110 CM</t>
  </si>
  <si>
    <t>(U)11950</t>
  </si>
  <si>
    <t>BUCHA DE NYLON SEM ABA S6, COM PARAFUSO DE 4,20 X 40 MM EM ACO ZINCADO COM ROSCA SOBERBA, CABECA CHATA E FENDA PHILLIPS</t>
  </si>
  <si>
    <t>(U)88239U</t>
  </si>
  <si>
    <t>AJUDANTE DE CARPINTEIRO COM ENCARGOS COMPLEMENTARES</t>
  </si>
  <si>
    <r>
      <t>(U)</t>
    </r>
    <r>
      <rPr>
        <b/>
        <sz val="10"/>
        <color indexed="8"/>
        <rFont val="Arial"/>
        <family val="2"/>
      </rPr>
      <t>94581U</t>
    </r>
  </si>
  <si>
    <t>JANELA DE ALUMÍNIO MAXIM-AR, FIXAÇÃO COM ARGAMASSA, COM VIDROS, PADRONIZADA. AF_07/2016</t>
  </si>
  <si>
    <t>(U)601</t>
  </si>
  <si>
    <t>JANELA ALUMINIO MAXIM AR, SERIE 25, 90 X 110CM (INCLUSO GUARNICAO E VIDRO FANTASIA).</t>
  </si>
  <si>
    <t>(U)88629U</t>
  </si>
  <si>
    <t>ARGAMASSA TRAÇO 1:3 (CIMENTO E AREIA MÉDIA), PREPARO MANUAL. AF_08/2014</t>
  </si>
  <si>
    <t>(U)11457</t>
  </si>
  <si>
    <t>TARJETA TIPO LIVRE / OCUPADO, CROMADA, PARA PORTA DE BANHEIRO</t>
  </si>
  <si>
    <t>(U)12.002.0001.M.CBR.RJ</t>
  </si>
  <si>
    <t>Grelha para porta de madeira 300x150</t>
  </si>
  <si>
    <t>(U)12759</t>
  </si>
  <si>
    <t>CHAPA ACO INOX AISI 304 NUMERO 9 (E = 4 MM), ACABAMENTO NUMERO 1 (LAMINADO A QUENTE, FOSCO)</t>
  </si>
  <si>
    <t>(U)36204</t>
  </si>
  <si>
    <t>BARRA DE APOIO RETA, EM ACO INOX POLIDO, COMPRIMENTO 60CM, DIAMETRO MINIMO 3 CM</t>
  </si>
  <si>
    <t>(U)4791</t>
  </si>
  <si>
    <t>ADESIVO ACRILICO/COLA DE CONTATO</t>
  </si>
  <si>
    <t>(U)72200U</t>
  </si>
  <si>
    <t>REVESTIMENTO EM LAMINADO MELAMINICO TEXTURIZADO, ESPESSURA 0,8 MM, FIXADO COM COLA</t>
  </si>
  <si>
    <t>(U)74065/1U</t>
  </si>
  <si>
    <t>PINTURA ESMALTE FOSCO PARA MADEIRA, DUAS DEMAOS, SOBRE FUNDO NIVELADOR BRANCO</t>
  </si>
  <si>
    <t>(U)84657U</t>
  </si>
  <si>
    <t>FUNDO SINTETICO NIVELADOR BRANCO</t>
  </si>
  <si>
    <t>(U)88315U</t>
  </si>
  <si>
    <t>SERRALHEIRO COM ENCARGOS COMPLEMENTARES</t>
  </si>
  <si>
    <t>(U)90844U</t>
  </si>
  <si>
    <t>KIT DE PORTA DE MADEIRA PARA PINTURA, SEMI-OCA (LEVE OU MÉDIA), PADRÃO MÉDIO, 90X210CM, ESPESSURA DE 3,5CM, ITENS INCLUSOS: DOBRADIÇAS, MONTAGEM E INSTALAÇÃO DO BATENTE, FECHADURA COM EXECUÇÃO DO FURO - FORNECIMENTO E INSTALAÇÃO. AF_08/2015</t>
  </si>
  <si>
    <t>Fornecimento e instalação de porta de madeira de abrir semioca (dimensões 0,80 m x 2,10 m - completa com ferragem) - folha da porta com acabamento padrão Imbuia Jade ou equivalente, alisar e aduelas em madeira com acabamento em pintura esmalte sintético na cor branco</t>
  </si>
  <si>
    <t>(U)90843U</t>
  </si>
  <si>
    <t>KIT DE PORTA DE MADEIRA PARA PINTURA, SEMI-OCA (LEVE OU MÉDIA), PADRÃO MÉDIO, 80X210CM, ESPESSURA DE 3,5CM, ITENS INCLUSOS: DOBRADIÇAS, MONTAGEM E INSTALAÇÃO DO BATENTE, FECHADURA COM EXECUÇÃO DO FURO - FORNECIMENTO E INSTALAÇÃO. AF_08/2015</t>
  </si>
  <si>
    <t>Insumos e coeficientes estimados a fim de atender a demanda prevista</t>
  </si>
  <si>
    <r>
      <t>(U)</t>
    </r>
    <r>
      <rPr>
        <b/>
        <sz val="10"/>
        <color indexed="8"/>
        <rFont val="Arial"/>
        <family val="2"/>
      </rPr>
      <t>13.002.0001.S.CBR.RJ</t>
    </r>
  </si>
  <si>
    <t>(U)13.002.0001.M.CBR.RJ</t>
  </si>
  <si>
    <t>Terminal de ventilação para tubo 75mm</t>
  </si>
  <si>
    <t>Coeficientes e insumos ajustados para atender a demanda prevista</t>
  </si>
  <si>
    <r>
      <t>(U)</t>
    </r>
    <r>
      <rPr>
        <b/>
        <sz val="10"/>
        <color indexed="8"/>
        <rFont val="Arial"/>
        <family val="2"/>
      </rPr>
      <t>89362U</t>
    </r>
  </si>
  <si>
    <t>JOELHO 90 GRAUS, PVC, SOLDÁVEL, DN 25MM, INSTALADO EM RAMAL OU SUB-RAMAL DE ÁGUA - FORNECIMENTO E INSTALAÇÃO. AF_12/2014</t>
  </si>
  <si>
    <t>(U)122</t>
  </si>
  <si>
    <t>ADESIVO PLASTICO PARA PVC, FRASCO COM 850 GR</t>
  </si>
  <si>
    <t>(U)20083</t>
  </si>
  <si>
    <t>SOLUCAO LIMPADORA PARA PVC, FRASCO COM 1000 CM3</t>
  </si>
  <si>
    <t>(U)3529</t>
  </si>
  <si>
    <t>JOELHO PVC, SOLDAVEL, 90 GRAUS, 25 MM, PARA AGUA FRIA PREDIAL</t>
  </si>
  <si>
    <t>(U)38383</t>
  </si>
  <si>
    <t>LIXA DAGUA EM FOLHA, GRAO 100</t>
  </si>
  <si>
    <r>
      <t>(U)</t>
    </r>
    <r>
      <rPr>
        <b/>
        <sz val="10"/>
        <color indexed="8"/>
        <rFont val="Arial"/>
        <family val="2"/>
      </rPr>
      <t>89378U</t>
    </r>
  </si>
  <si>
    <t>LUVA, PVC, SOLDÁVEL, DN 25MM, INSTALADO EM RAMAL OU SUB-RAMAL DE ÁGUA - FORNECIMENTO E INSTALAÇÃO. AF_12/2014</t>
  </si>
  <si>
    <t>(U)3904</t>
  </si>
  <si>
    <t>LUVA PVC SOLDAVEL, 25 MM, PARA AGUA FRIA PREDIAL</t>
  </si>
  <si>
    <r>
      <t>(U)</t>
    </r>
    <r>
      <rPr>
        <b/>
        <sz val="10"/>
        <color indexed="8"/>
        <rFont val="Arial"/>
        <family val="2"/>
      </rPr>
      <t>89383U</t>
    </r>
  </si>
  <si>
    <t>ADAPTADOR CURTO COM BOLSA E ROSCA PARA REGISTRO, PVC, SOLDÁVEL, DN 25MM X 3/4?, INSTALADO EM RAMAL OU SUB-RAMAL DE ÁGUA - FORNECIMENTO E INSTALAÇÃO. AF_12/2014</t>
  </si>
  <si>
    <t>(U)65</t>
  </si>
  <si>
    <t>ADAPTADOR PVC SOLDAVEL CURTO COM BOLSA E ROSCA, 25 MM X 3/4", PARA AGUA FRIA</t>
  </si>
  <si>
    <r>
      <t>(U)</t>
    </r>
    <r>
      <rPr>
        <b/>
        <sz val="10"/>
        <color indexed="8"/>
        <rFont val="Arial"/>
        <family val="2"/>
      </rPr>
      <t>89396U</t>
    </r>
  </si>
  <si>
    <t>TÊ COM BUCHA DE LATÃO NA BOLSA CENTRAL, PVC, SOLDÁVEL, DN 25MM X 1/2?, INSTALADO EM RAMAL OU SUB-RAMAL DE ÁGUA - FORNECIMENTO E INSTALAÇÃO. AF_12/2014</t>
  </si>
  <si>
    <t>(U)7137</t>
  </si>
  <si>
    <t>TE PVC, SOLDAVEL, COM BUCHA DE LATAO NA BOLSA CENTRAL, 90 GRAUS, 25 MM X 1/2", PARA AGUA FRIA PREDIAL</t>
  </si>
  <si>
    <r>
      <t>(U)</t>
    </r>
    <r>
      <rPr>
        <b/>
        <sz val="10"/>
        <color indexed="8"/>
        <rFont val="Arial"/>
        <family val="2"/>
      </rPr>
      <t>89440U</t>
    </r>
  </si>
  <si>
    <t>TE, PVC, SOLDÁVEL, DN 25MM, INSTALADO EM RAMAL DE DISTRIBUIÇÃO DE ÁGUA - FORNECIMENTO E INSTALAÇÃO. AF_12/2014</t>
  </si>
  <si>
    <t>(U)7139</t>
  </si>
  <si>
    <t>TE SOLDAVEL, PVC, 90 GRAUS, 25 MM, PARA AGUA FRIA PREDIAL (NBR 5648)</t>
  </si>
  <si>
    <r>
      <t>(U)</t>
    </r>
    <r>
      <rPr>
        <b/>
        <sz val="10"/>
        <color indexed="8"/>
        <rFont val="Arial"/>
        <family val="2"/>
      </rPr>
      <t>89501U</t>
    </r>
  </si>
  <si>
    <t>JOELHO 90 GRAUS, PVC, SOLDÁVEL, DN 50MM, INSTALADO EM PRUMADA DE ÁGUA - FORNECIMENTO E INSTALAÇÃO. AF_12/2014</t>
  </si>
  <si>
    <t>(U)3540</t>
  </si>
  <si>
    <t>JOELHO PVC, SOLDAVEL, 90 GRAUS, 50 MM, PARA AGUA FRIA PREDIAL</t>
  </si>
  <si>
    <r>
      <t>(U)</t>
    </r>
    <r>
      <rPr>
        <b/>
        <sz val="10"/>
        <color indexed="8"/>
        <rFont val="Arial"/>
        <family val="2"/>
      </rPr>
      <t>89505U</t>
    </r>
  </si>
  <si>
    <t>JOELHO 90 GRAUS, PVC, SOLDÁVEL, DN 60MM, INSTALADO EM PRUMADA DE ÁGUA - FORNECIMENTO E INSTALAÇÃO. AF_12/2014</t>
  </si>
  <si>
    <t>(U)3539</t>
  </si>
  <si>
    <t>JOELHO PVC, SOLDAVEL, 90 GRAUS, 60 MM, PARA AGUA FRIA PREDIAL</t>
  </si>
  <si>
    <r>
      <t>(U)</t>
    </r>
    <r>
      <rPr>
        <b/>
        <sz val="10"/>
        <color indexed="8"/>
        <rFont val="Arial"/>
        <family val="2"/>
      </rPr>
      <t>89570U</t>
    </r>
  </si>
  <si>
    <t>ADAPTADOR CURTO COM BOLSA E ROSCA PARA REGISTRO, PVC, SOLDÁVEL, DN 40MM X 1.1/2?, INSTALADO EM PRUMADA DE ÁGUA - FORNECIMENTO E INSTALAÇÃO. AF_12/2014</t>
  </si>
  <si>
    <t>(U)110</t>
  </si>
  <si>
    <t>ADAPTADOR PVC SOLDAVEL CURTO COM BOLSA E ROSCA, 40 MM X 1 1/2", PARA AGUA FRIA</t>
  </si>
  <si>
    <r>
      <t>(U)</t>
    </r>
    <r>
      <rPr>
        <b/>
        <sz val="10"/>
        <color indexed="8"/>
        <rFont val="Arial"/>
        <family val="2"/>
      </rPr>
      <t>89610U</t>
    </r>
  </si>
  <si>
    <t>ADAPTADOR CURTO COM BOLSA E ROSCA PARA REGISTRO, PVC, SOLDÁVEL, DN 60MM X 2?, INSTALADO EM PRUMADA DE ÁGUA - FORNECIMENTO E INSTALAÇÃO. AF_12/2014</t>
  </si>
  <si>
    <t>(U)113</t>
  </si>
  <si>
    <t>ADAPTADOR PVC SOLDAVEL CURTO COM BOLSA E ROSCA, 60 MM X 2", PARA AGUA FRIA</t>
  </si>
  <si>
    <r>
      <t>(U)</t>
    </r>
    <r>
      <rPr>
        <b/>
        <sz val="10"/>
        <color indexed="8"/>
        <rFont val="Arial"/>
        <family val="2"/>
      </rPr>
      <t>89625U</t>
    </r>
  </si>
  <si>
    <t>TE, PVC, SOLDÁVEL, DN 50MM, INSTALADO EM PRUMADA DE ÁGUA - FORNECIMENTO E INSTALAÇÃO. AF_12/2014</t>
  </si>
  <si>
    <t>(U)7142</t>
  </si>
  <si>
    <t>TE SOLDAVEL, PVC, 90 GRAUS,50 MM, PARA AGUA FRIA PREDIAL (NBR 5648)</t>
  </si>
  <si>
    <r>
      <t>(U)</t>
    </r>
    <r>
      <rPr>
        <b/>
        <sz val="10"/>
        <color indexed="8"/>
        <rFont val="Arial"/>
        <family val="2"/>
      </rPr>
      <t>89627U</t>
    </r>
  </si>
  <si>
    <t>TÊ DE REDUÇÃO, PVC, SOLDÁVEL, DN 50MM X 25MM, INSTALADO EM PRUMADA DE ÁGUA - FORNECIMENTO E INSTALAÇÃO. AF_12/2014</t>
  </si>
  <si>
    <t>(U)7129</t>
  </si>
  <si>
    <t>TE DE REDUCAO, PVC, SOLDAVEL, 90 GRAUS, 50 MM X 25 MM, PARA AGUA FRIA PREDIAL</t>
  </si>
  <si>
    <r>
      <t>(U)</t>
    </r>
    <r>
      <rPr>
        <b/>
        <sz val="10"/>
        <color indexed="8"/>
        <rFont val="Arial"/>
        <family val="2"/>
      </rPr>
      <t>89628U</t>
    </r>
  </si>
  <si>
    <t>TE, PVC, SOLDÁVEL, DN 60MM, INSTALADO EM PRUMADA DE ÁGUA - FORNECIMENTO E INSTALAÇÃO. AF_12/2014</t>
  </si>
  <si>
    <t>(U)7143</t>
  </si>
  <si>
    <t>TE SOLDAVEL, PVC, 90 GRAUS, 60 MM, PARA AGUA FRIA PREDIAL (NBR 5648)</t>
  </si>
  <si>
    <r>
      <t>(U)</t>
    </r>
    <r>
      <rPr>
        <b/>
        <sz val="10"/>
        <color indexed="8"/>
        <rFont val="Arial"/>
        <family val="2"/>
      </rPr>
      <t>89724U</t>
    </r>
  </si>
  <si>
    <t>JOELHO 90 GRAUS, PVC, SERIE NORMAL, ESGOTO PREDIAL, DN 40 MM, JUNTA SOLDÁVEL, FORNECIDO E INSTALADO EM RAMAL DE DESCARGA OU RAMAL DE ESGOTO SANITÁRIO. AF_12/2014</t>
  </si>
  <si>
    <t>(U)3517</t>
  </si>
  <si>
    <t>JOELHO PVC, SOLDAVEL, BB, 90 GRAUS, DN 40 MM, PARA ESGOTO PREDIAL</t>
  </si>
  <si>
    <r>
      <t>(U)</t>
    </r>
    <r>
      <rPr>
        <b/>
        <sz val="10"/>
        <color indexed="8"/>
        <rFont val="Arial"/>
        <family val="2"/>
      </rPr>
      <t>89726U</t>
    </r>
  </si>
  <si>
    <t>JOELHO 45 GRAUS, PVC, SERIE NORMAL, ESGOTO PREDIAL, DN 40 MM, JUNTA SOLDÁVEL, FORNECIDO E INSTALADO EM RAMAL DE DESCARGA OU RAMAL DE ESGOTO SANITÁRIO. AF_12/2014</t>
  </si>
  <si>
    <t>(U)3516</t>
  </si>
  <si>
    <t>JOELHO PVC, SOLDAVEL, BB, 45 GRAUS, DN 40 MM, PARA ESGOTO PREDIAL</t>
  </si>
  <si>
    <r>
      <t>(U)</t>
    </r>
    <r>
      <rPr>
        <b/>
        <sz val="10"/>
        <color indexed="8"/>
        <rFont val="Arial"/>
        <family val="2"/>
      </rPr>
      <t>89731U</t>
    </r>
  </si>
  <si>
    <t>JOELHO 90 GRAUS, PVC, SERIE NORMAL, ESGOTO PREDIAL, DN 50 MM, JUNTA ELÁSTICA, FORNECIDO E INSTALADO EM RAMAL DE DESCARGA OU RAMAL DE ESGOTO SANITÁRIO. AF_12/2014</t>
  </si>
  <si>
    <t>(U)20078</t>
  </si>
  <si>
    <t>PASTA LUBRIFICANTE PARA TUBOS E CONEXOES COM JUNTA ELASTICA (USO EM PVC, ACO, POLIETILENO E OUTROS) ( DE *400* G)</t>
  </si>
  <si>
    <t>(U)296</t>
  </si>
  <si>
    <t>ANEL BORRACHA PARA TUBO ESGOTO PREDIAL DN 50 MM (NBR 5688)</t>
  </si>
  <si>
    <t>(U)3526</t>
  </si>
  <si>
    <t>JOELHO PVC, SOLDAVEL, PB, 90 GRAUS, DN 50 MM, PARA ESGOTO PREDIAL</t>
  </si>
  <si>
    <r>
      <t>(U)</t>
    </r>
    <r>
      <rPr>
        <b/>
        <sz val="10"/>
        <color indexed="8"/>
        <rFont val="Arial"/>
        <family val="2"/>
      </rPr>
      <t>89732U</t>
    </r>
  </si>
  <si>
    <t>JOELHO 45 GRAUS, PVC, SERIE NORMAL, ESGOTO PREDIAL, DN 50 MM, JUNTA ELÁSTICA, FORNECIDO E INSTALADO EM RAMAL DE DESCARGA OU RAMAL DE ESGOTO SANITÁRIO. AF_12/2014</t>
  </si>
  <si>
    <t>(U)3518</t>
  </si>
  <si>
    <t>JOELHO PVC, SOLDAVEL, PB, 45 GRAUS, DN 50 MM, PARA ESGOTO PREDIAL</t>
  </si>
  <si>
    <r>
      <t>(U)</t>
    </r>
    <r>
      <rPr>
        <b/>
        <sz val="10"/>
        <color indexed="8"/>
        <rFont val="Arial"/>
        <family val="2"/>
      </rPr>
      <t>89737U</t>
    </r>
  </si>
  <si>
    <t>JOELHO 90 GRAUS, PVC, SERIE NORMAL, ESGOTO PREDIAL, DN 75 MM, JUNTA ELÁSTICA, FORNECIDO E INSTALADO EM RAMAL DE DESCARGA OU RAMAL DE ESGOTO SANITÁRIO. AF_12/2014</t>
  </si>
  <si>
    <t>(U)297</t>
  </si>
  <si>
    <t>ANEL BORRACHA PARA TUBO ESGOTO PREDIAL DN 75 MM (NBR 5688)</t>
  </si>
  <si>
    <t>(U)3509</t>
  </si>
  <si>
    <t>JOELHO PVC, SOLDAVEL, PB, 90 GRAUS, DN 75 MM, PARA ESGOTO PREDIAL</t>
  </si>
  <si>
    <r>
      <t>(U)</t>
    </r>
    <r>
      <rPr>
        <b/>
        <sz val="10"/>
        <color indexed="8"/>
        <rFont val="Arial"/>
        <family val="2"/>
      </rPr>
      <t>89744U</t>
    </r>
  </si>
  <si>
    <t>JOELHO 90 GRAUS, PVC, SERIE NORMAL, ESGOTO PREDIAL, DN 100 MM, JUNTA ELÁSTICA, FORNECIDO E INSTALADO EM RAMAL DE DESCARGA OU RAMAL DE ESGOTO SANITÁRIO. AF_12/2014</t>
  </si>
  <si>
    <t>(U)301</t>
  </si>
  <si>
    <t>ANEL BORRACHA PARA TUBO ESGOTO PREDIAL, DN 100 MM (NBR 5688)</t>
  </si>
  <si>
    <t>(U)3520</t>
  </si>
  <si>
    <t>JOELHO PVC, SOLDAVEL, PB, 90 GRAUS, DN 100 MM, PARA ESGOTO PREDIAL</t>
  </si>
  <si>
    <r>
      <t>(U)</t>
    </r>
    <r>
      <rPr>
        <b/>
        <sz val="10"/>
        <color indexed="8"/>
        <rFont val="Arial"/>
        <family val="2"/>
      </rPr>
      <t>89746U</t>
    </r>
  </si>
  <si>
    <t>JOELHO 45 GRAUS, PVC, SERIE NORMAL, ESGOTO PREDIAL, DN 100 MM, JUNTA ELÁSTICA, FORNECIDO E INSTALADO EM RAMAL DE DESCARGA OU RAMAL DE ESGOTO SANITÁRIO. AF_12/2014</t>
  </si>
  <si>
    <t>(U)3528</t>
  </si>
  <si>
    <t>JOELHO PVC, SOLDAVEL, PB, 45 GRAUS, DN 100 MM, PARA ESGOTO PREDIAL</t>
  </si>
  <si>
    <r>
      <t>(U)</t>
    </r>
    <r>
      <rPr>
        <b/>
        <sz val="10"/>
        <color indexed="8"/>
        <rFont val="Arial"/>
        <family val="2"/>
      </rPr>
      <t>89783U</t>
    </r>
  </si>
  <si>
    <t>JUNÇÃO SIMPLES, PVC, SERIE NORMAL, ESGOTO PREDIAL, DN 40 MM, JUNTA SOLDÁVEL, FORNECIDO E INSTALADO EM RAMAL DE DESCARGA OU RAMAL DE ESGOTO SANITÁRIO. AF_12/2014</t>
  </si>
  <si>
    <t>(U)3666</t>
  </si>
  <si>
    <t>JUNCAO SIMPLES, PVC, 45 GRAUS, DN 40 X 40 MM, SERIE NORMAL PARA ESGOTO PREDIAL</t>
  </si>
  <si>
    <r>
      <t>(U)</t>
    </r>
    <r>
      <rPr>
        <b/>
        <sz val="10"/>
        <color indexed="8"/>
        <rFont val="Arial"/>
        <family val="2"/>
      </rPr>
      <t>89785U</t>
    </r>
  </si>
  <si>
    <t>JUNÇÃO SIMPLES, PVC, SERIE NORMAL, ESGOTO PREDIAL, DN 50 X 50 MM, JUNTA ELÁSTICA, FORNECIDO E INSTALADO EM RAMAL DE DESCARGA OU RAMAL DE ESGOTO SANITÁRIO. AF_12/2014</t>
  </si>
  <si>
    <t>(U)3662</t>
  </si>
  <si>
    <t>JUNCAO SIMPLES, PVC, DN 50 X 50 MM, SERIE NORMAL PARA ESGOTO PREDIAL</t>
  </si>
  <si>
    <r>
      <t>(U)</t>
    </r>
    <r>
      <rPr>
        <b/>
        <sz val="10"/>
        <color indexed="8"/>
        <rFont val="Arial"/>
        <family val="2"/>
      </rPr>
      <t>89797U</t>
    </r>
  </si>
  <si>
    <t>JUNÇÃO SIMPLES, PVC, SERIE NORMAL, ESGOTO PREDIAL, DN 100 X 100 MM, JUNTA ELÁSTICA, FORNECIDO E INSTALADO EM RAMAL DE DESCARGA OU RAMAL DE ESGOTO SANITÁRIO. AF_12/2014</t>
  </si>
  <si>
    <t>(U)3670</t>
  </si>
  <si>
    <t>JUNCAO SIMPLES, PVC, 45 GRAUS, DN 100 X 100 MM, SERIE NORMAL PARA ESGOTO PREDIAL</t>
  </si>
  <si>
    <r>
      <t>(U)</t>
    </r>
    <r>
      <rPr>
        <b/>
        <sz val="10"/>
        <color indexed="8"/>
        <rFont val="Arial"/>
        <family val="2"/>
      </rPr>
      <t>89825U</t>
    </r>
  </si>
  <si>
    <t>TE, PVC, SERIE NORMAL, ESGOTO PREDIAL, DN 50 X 50 MM, JUNTA ELÁSTICA, FORNECIDO E INSTALADO EM PRUMADA DE ESGOTO SANITÁRIO OU VENTILAÇÃO. AF_12/2014</t>
  </si>
  <si>
    <t>(U)7097</t>
  </si>
  <si>
    <t>TE SANITARIO, PVC, DN 50 X 50 MM, SERIE NORMAL, PARA ESGOTO PREDIAL</t>
  </si>
  <si>
    <r>
      <t>(U)</t>
    </r>
    <r>
      <rPr>
        <b/>
        <sz val="10"/>
        <color indexed="8"/>
        <rFont val="Arial"/>
        <family val="2"/>
      </rPr>
      <t>98.014.ESP.TCPO.SIN</t>
    </r>
  </si>
  <si>
    <t>(U)1865</t>
  </si>
  <si>
    <t>CURVA LONGA PVC, PB, JE, 90 GRAUS, DN 150 MM, PARA REDE COLETORA ESGOTO (NBR 10569)</t>
  </si>
  <si>
    <t>(U)39645</t>
  </si>
  <si>
    <t>ANEL DE BORRACHA PARA VEDACAO DE DUTO PEAD CORRUGADO PARA ELETRICA, DN 4"</t>
  </si>
  <si>
    <r>
      <t>(U)</t>
    </r>
    <r>
      <rPr>
        <b/>
        <sz val="10"/>
        <color indexed="8"/>
        <rFont val="Arial"/>
        <family val="2"/>
      </rPr>
      <t>98.015.ESP.TCPO.SIN</t>
    </r>
  </si>
  <si>
    <t>(U)822</t>
  </si>
  <si>
    <t>BUCHA DE REDUCAO DE PVC, SOLDAVEL, LONGA, COM 60 X 50 MM, PARA AGUA FRIA PREDIAL</t>
  </si>
  <si>
    <r>
      <t>(U)</t>
    </r>
    <r>
      <rPr>
        <b/>
        <sz val="10"/>
        <color indexed="8"/>
        <rFont val="Arial"/>
        <family val="2"/>
      </rPr>
      <t>98.016.ESP.TCPO.SIN</t>
    </r>
  </si>
  <si>
    <t>(U)3659</t>
  </si>
  <si>
    <t>JUNCAO SIMPLES, PVC, DN 100 X 50 MM, SERIE NORMAL PARA ESGOTO PREDIAL</t>
  </si>
  <si>
    <r>
      <t>(U)</t>
    </r>
    <r>
      <rPr>
        <b/>
        <sz val="10"/>
        <color indexed="8"/>
        <rFont val="Arial"/>
        <family val="2"/>
      </rPr>
      <t>98.017.ESP.TCPO.SIN</t>
    </r>
  </si>
  <si>
    <t>(U)3661</t>
  </si>
  <si>
    <t>JUNCAO SIMPLES, PVC, DN 75 X 50 MM, SERIE NORMAL PARA ESGOTO PREDIAL</t>
  </si>
  <si>
    <r>
      <t>(U)</t>
    </r>
    <r>
      <rPr>
        <b/>
        <sz val="10"/>
        <color indexed="8"/>
        <rFont val="Arial"/>
        <family val="2"/>
      </rPr>
      <t>98.018.ESP.TCPO.SIN</t>
    </r>
  </si>
  <si>
    <t>(U)7132</t>
  </si>
  <si>
    <t>TE DE REDUCAO, PVC, SOLDAVEL, 90 GRAUS, 75 MM X 50 MM, PARA AGUA FRIA PREDIAL</t>
  </si>
  <si>
    <r>
      <t>(U)</t>
    </r>
    <r>
      <rPr>
        <b/>
        <sz val="10"/>
        <color indexed="8"/>
        <rFont val="Arial"/>
        <family val="2"/>
      </rPr>
      <t>98.019.ESP.TCPO.SIN</t>
    </r>
  </si>
  <si>
    <t>(U)11071</t>
  </si>
  <si>
    <t>PLUG PVC P/ ESG PREDIAL 100MM</t>
  </si>
  <si>
    <r>
      <t>(U)</t>
    </r>
    <r>
      <rPr>
        <b/>
        <sz val="10"/>
        <color indexed="8"/>
        <rFont val="Arial"/>
        <family val="2"/>
      </rPr>
      <t>89987U</t>
    </r>
  </si>
  <si>
    <t>REGISTRO DE GAVETA BRUTO, LATÃO, ROSCÁVEL, 3/4", COM ACABAMENTO E CANOPLA CROMADOS. FORNECIDO E INSTALADO EM RAMAL DE ÁGUA. AF_12/2014</t>
  </si>
  <si>
    <t>(U)3148</t>
  </si>
  <si>
    <t>FITA VEDA ROSCA EM ROLOS DE 18 MM X 50 M (L X C)</t>
  </si>
  <si>
    <t>(U)6005</t>
  </si>
  <si>
    <t>REGISTRO GAVETA COM ACABAMENTO E CANOPLA CROMADOS, SIMPLES, BITOLA 3/4 " (REF 1509)</t>
  </si>
  <si>
    <r>
      <t>(U)</t>
    </r>
    <r>
      <rPr>
        <b/>
        <sz val="10"/>
        <color indexed="8"/>
        <rFont val="Arial"/>
        <family val="2"/>
      </rPr>
      <t>94498U</t>
    </r>
  </si>
  <si>
    <t>REGISTRO DE GAVETA BRUTO, LATÃO, ROSCÁVEL, 2?, INSTALADO EM RESERVAÇÃO DE ÁGUA DE EDIFICAÇÃO QUE POSSUA RESERVATÓRIO DE FIBRA/FIBROCIMENTO ? FORNECIMENTO E INSTALAÇÃO. AF_06/2016</t>
  </si>
  <si>
    <t>(U)6028</t>
  </si>
  <si>
    <t>REGISTRO GAVETA BRUTO EM LATAO FORJADO, BITOLA 2 " (REF 1509)</t>
  </si>
  <si>
    <r>
      <t>(U)</t>
    </r>
    <r>
      <rPr>
        <b/>
        <sz val="10"/>
        <color indexed="8"/>
        <rFont val="Arial"/>
        <family val="2"/>
      </rPr>
      <t>94499U</t>
    </r>
  </si>
  <si>
    <t>REGISTRO DE GAVETA BRUTO, LATÃO, ROSCÁVEL, 2 1/2?, INSTALADO EM RESERVAÇÃO DE ÁGUA DE EDIFICAÇÃO QUE POSSUA RESERVATÓRIO DE FIBRA/FIBROCIMENTO ? FORNECIMENTO E INSTALAÇÃO. AF_06/2016</t>
  </si>
  <si>
    <t>(U)6011</t>
  </si>
  <si>
    <t>REGISTRO GAVETA BRUTO EM LATAO FORJADO, BITOLA 2 1/2 " (REF 1509)</t>
  </si>
  <si>
    <r>
      <t>(U)</t>
    </r>
    <r>
      <rPr>
        <b/>
        <sz val="10"/>
        <color indexed="8"/>
        <rFont val="Arial"/>
        <family val="2"/>
      </rPr>
      <t>94792U</t>
    </r>
  </si>
  <si>
    <t>REGISTRO DE GAVETA BRUTO, LATÃO, ROSCÁVEL, 1?, COM ACABAMENTO E CANOPLA CROMADOS, INSTALADO EM RESERVAÇÃO DE ÁGUA DE EDIFICAÇÃO QUE POSSUA RESERVATÓRIO DE FIBRA/FIBROCIMENTO ? FORNECIMENTO E INSTALAÇÃO. AF_06/2016</t>
  </si>
  <si>
    <t>(U)6013</t>
  </si>
  <si>
    <t>REGISTRO GAVETA COM ACABAMENTO E CANOPLA CROMADOS, SIMPLES, BITOLA 1 " (REF 1509)</t>
  </si>
  <si>
    <r>
      <t>(U)</t>
    </r>
    <r>
      <rPr>
        <b/>
        <sz val="10"/>
        <color indexed="8"/>
        <rFont val="Arial"/>
        <family val="2"/>
      </rPr>
      <t>94794U</t>
    </r>
  </si>
  <si>
    <t>REGISTRO DE GAVETA BRUTO, LATÃO, ROSCÁVEL, 1 1/2?, COM ACABAMENTO E CANOPLA CROMADOS, INSTALADO EM RESERVAÇÃO DE ÁGUA DE EDIFICAÇÃO QUE POSSUA RESERVATÓRIO DE FIBRA/FIBROCIMENTO ? FORNECIMENTO E INSTALAÇÃO. AF_06/2016</t>
  </si>
  <si>
    <t>(U)6015</t>
  </si>
  <si>
    <t>REGISTRO GAVETA COM ACABAMENTO E CANOPLA CROMADOS, SIMPLES, BITOLA 1 1/2 " (REF 1509)</t>
  </si>
  <si>
    <r>
      <t>(U)</t>
    </r>
    <r>
      <rPr>
        <b/>
        <sz val="10"/>
        <color indexed="8"/>
        <rFont val="Arial"/>
        <family val="2"/>
      </rPr>
      <t>89708U</t>
    </r>
  </si>
  <si>
    <t>CAIXA SIFONADA, PVC, DN 150 X 185 X 75 MM, JUNTA ELÁSTICA, FORNECIDA E INSTALADA EM RAMAL DE DESCARGA OU EM RAMAL DE ESGOTO SANITÁRIO. AF_12/2014</t>
  </si>
  <si>
    <t>(U)11714</t>
  </si>
  <si>
    <t>CAIXA SIFONADA PVC, 150 X 185 X 75 MM, COM GRELHA QUADRADA BRANCA</t>
  </si>
  <si>
    <t>(U)9868</t>
  </si>
  <si>
    <t>TUBO PVC, SOLDAVEL, DN 25 MM, AGUA FRIA (NBR-5648)</t>
  </si>
  <si>
    <r>
      <t>(U)</t>
    </r>
    <r>
      <rPr>
        <b/>
        <sz val="10"/>
        <color indexed="8"/>
        <rFont val="Arial"/>
        <family val="2"/>
      </rPr>
      <t>89446U</t>
    </r>
  </si>
  <si>
    <t>TUBO, PVC, SOLDÁVEL, DN 25MM, INSTALADO EM PRUMADA DE ÁGUA - FORNECIMENTO E INSTALAÇÃO. AF_12/2014</t>
  </si>
  <si>
    <r>
      <t>(U)</t>
    </r>
    <r>
      <rPr>
        <b/>
        <sz val="10"/>
        <color indexed="8"/>
        <rFont val="Arial"/>
        <family val="2"/>
      </rPr>
      <t>89447U</t>
    </r>
  </si>
  <si>
    <t>TUBO, PVC, SOLDÁVEL, DN 32MM, INSTALADO EM PRUMADA DE ÁGUA - FORNECIMENTO E INSTALAÇÃO. AF_12/2014</t>
  </si>
  <si>
    <t>(U)9869</t>
  </si>
  <si>
    <t>TUBO PVC, SOLDAVEL, DN 32 MM, AGUA FRIA (NBR-5648)</t>
  </si>
  <si>
    <r>
      <t>(U)</t>
    </r>
    <r>
      <rPr>
        <b/>
        <sz val="10"/>
        <color indexed="8"/>
        <rFont val="Arial"/>
        <family val="2"/>
      </rPr>
      <t>89449U</t>
    </r>
  </si>
  <si>
    <r>
      <t>(U)</t>
    </r>
    <r>
      <rPr>
        <b/>
        <sz val="10"/>
        <color indexed="8"/>
        <rFont val="Arial"/>
        <family val="2"/>
      </rPr>
      <t>89450U</t>
    </r>
  </si>
  <si>
    <t>TUBO PVC, SOLDAVEL, DN 60 MM, AGUA FRIA (NBR-5648)</t>
  </si>
  <si>
    <r>
      <t>(U)</t>
    </r>
    <r>
      <rPr>
        <b/>
        <sz val="10"/>
        <color indexed="8"/>
        <rFont val="Arial"/>
        <family val="2"/>
      </rPr>
      <t>89451U</t>
    </r>
  </si>
  <si>
    <t>TUBO, PVC, SOLDÁVEL, DN 75MM, INSTALADO EM PRUMADA DE ÁGUA - FORNECIMENTO E INSTALAÇÃO. AF_12/2014</t>
  </si>
  <si>
    <t>(U)9871</t>
  </si>
  <si>
    <t>TUBO PVC, SOLDAVEL, DN 75 MM, AGUA FRIA (NBR-5648)</t>
  </si>
  <si>
    <r>
      <t>(U)</t>
    </r>
    <r>
      <rPr>
        <b/>
        <sz val="10"/>
        <color indexed="8"/>
        <rFont val="Arial"/>
        <family val="2"/>
      </rPr>
      <t>89711U</t>
    </r>
  </si>
  <si>
    <t>TUBO PVC, SERIE NORMAL, ESGOTO PREDIAL, DN 40 MM, FORNECIDO E INSTALADO EM RAMAL DE DESCARGA OU RAMAL DE ESGOTO SANITÁRIO. AF_12/2014</t>
  </si>
  <si>
    <t>(U)9835</t>
  </si>
  <si>
    <t>TUBO PVC SERIE NORMAL, DN 40 MM, PARA ESGOTO PREDIAL (NBR 5688)</t>
  </si>
  <si>
    <r>
      <t>(U)</t>
    </r>
    <r>
      <rPr>
        <b/>
        <sz val="10"/>
        <color indexed="8"/>
        <rFont val="Arial"/>
        <family val="2"/>
      </rPr>
      <t>89712U</t>
    </r>
  </si>
  <si>
    <t>TUBO PVC, SERIE NORMAL, ESGOTO PREDIAL, DN 50 MM, FORNECIDO E INSTALADO EM RAMAL DE DESCARGA OU RAMAL DE ESGOTO SANITÁRIO. AF_12/2014</t>
  </si>
  <si>
    <t>(U)9838</t>
  </si>
  <si>
    <t>TUBO PVC SERIE NORMAL, DN 50 MM, PARA ESGOTO PREDIAL (NBR 5688)</t>
  </si>
  <si>
    <r>
      <t>(U)</t>
    </r>
    <r>
      <rPr>
        <b/>
        <sz val="10"/>
        <color indexed="8"/>
        <rFont val="Arial"/>
        <family val="2"/>
      </rPr>
      <t>89713U</t>
    </r>
  </si>
  <si>
    <t>TUBO PVC, SERIE NORMAL, ESGOTO PREDIAL, DN 75 MM, FORNECIDO E INSTALADO EM RAMAL DE DESCARGA OU RAMAL DE ESGOTO SANITÁRIO. AF_12/2014</t>
  </si>
  <si>
    <t>(U)9837</t>
  </si>
  <si>
    <t>TUBO PVC SERIE NORMAL, DN 75 MM, PARA ESGOTO PREDIAL (NBR 5688)</t>
  </si>
  <si>
    <r>
      <t>(U)</t>
    </r>
    <r>
      <rPr>
        <b/>
        <sz val="10"/>
        <color indexed="8"/>
        <rFont val="Arial"/>
        <family val="2"/>
      </rPr>
      <t>89714U</t>
    </r>
  </si>
  <si>
    <t>TUBO PVC, SERIE NORMAL, ESGOTO PREDIAL, DN 100 MM, FORNECIDO E INSTALADO EM RAMAL DE DESCARGA OU RAMAL DE ESGOTO SANITÁRIO. AF_12/2014</t>
  </si>
  <si>
    <t>(U)9836</t>
  </si>
  <si>
    <t>TUBO PVC SERIE NORMAL, DN 100 MM, PARA ESGOTO PREDIAL (NBR 5688)</t>
  </si>
  <si>
    <r>
      <t>(U)</t>
    </r>
    <r>
      <rPr>
        <b/>
        <sz val="10"/>
        <color indexed="8"/>
        <rFont val="Arial"/>
        <family val="2"/>
      </rPr>
      <t>14.001.0001.S.CBR.RJ</t>
    </r>
  </si>
  <si>
    <t>Fornecimento e instalação de caixa sifonada com tampa cega150x150x50</t>
  </si>
  <si>
    <t>(U)14.001.0001.M.CBR.RJ</t>
  </si>
  <si>
    <t>Caixa sifonada 150x150x50</t>
  </si>
  <si>
    <t>(U)14.001.0002.M.CBR.RJ</t>
  </si>
  <si>
    <t>Tampa cega150x150</t>
  </si>
  <si>
    <r>
      <t>(U)</t>
    </r>
    <r>
      <rPr>
        <b/>
        <sz val="10"/>
        <color indexed="8"/>
        <rFont val="Arial"/>
        <family val="2"/>
      </rPr>
      <t>16.002.0001.S.CBR.RJ</t>
    </r>
  </si>
  <si>
    <t>(U)16.002.0001.M.CBR.RJ</t>
  </si>
  <si>
    <t>Sistema de proteção. Incluso: Protetor contra surto</t>
  </si>
  <si>
    <t>(U)979</t>
  </si>
  <si>
    <t>CABO DE COBRE, FLEXIVEL, CLASSE 4 OU 5, ISOLACAO EM PVC/A, ANTICHAMA BWF-B, 1 CONDUTOR, 450/750 V, SECAO NOMINAL 16 MM2</t>
  </si>
  <si>
    <t>Coefientes e insumos ajustados para atender a demanda</t>
  </si>
  <si>
    <r>
      <t>(U)</t>
    </r>
    <r>
      <rPr>
        <b/>
        <sz val="10"/>
        <color indexed="8"/>
        <rFont val="Arial"/>
        <family val="2"/>
      </rPr>
      <t>16.002.0002.S.CBR.RJ</t>
    </r>
  </si>
  <si>
    <t>Fornecimento e instalação de disjuntor 3 x 32 A, curva C, Icc = 16kA. Ref.: DWB160B32-3DX da WEG ou equivalentes técnicos.</t>
  </si>
  <si>
    <t>(U)1575</t>
  </si>
  <si>
    <t>TERMINAL A COMPRESSAO EM COBRE ESTANHADO PARA CABO 16 MM2, 1 FURO E 1 COMPRESSAO, PARA PARAFUSO DE FIXACAO M6</t>
  </si>
  <si>
    <t>(U)16.002.0002.M.CBR.RJ</t>
  </si>
  <si>
    <r>
      <t>(U)</t>
    </r>
    <r>
      <rPr>
        <b/>
        <sz val="10"/>
        <color indexed="8"/>
        <rFont val="Arial"/>
        <family val="2"/>
      </rPr>
      <t>16.004.0001.S.CBR.RJ</t>
    </r>
  </si>
  <si>
    <t>(U)16.006.0001.M.CBR.RJ</t>
  </si>
  <si>
    <t>Cabo PP 3x2,5mm2 (rolo com 100m)</t>
  </si>
  <si>
    <t>(U)16.007.0002.M.CBR.RJ</t>
  </si>
  <si>
    <t>Plug femea 2p+t</t>
  </si>
  <si>
    <t>(U)16.007.0003.M.CBR.RJ</t>
  </si>
  <si>
    <t>Plug macho 2p+t</t>
  </si>
  <si>
    <t>Coeficientes e insumos ajustados para atendimento desta demanda</t>
  </si>
  <si>
    <r>
      <t>(U)</t>
    </r>
    <r>
      <rPr>
        <b/>
        <sz val="10"/>
        <color indexed="8"/>
        <rFont val="Arial"/>
        <family val="2"/>
      </rPr>
      <t>91926U</t>
    </r>
  </si>
  <si>
    <t>CABO DE COBRE FLEXÍVEL ISOLADO, 2,5 MM², ANTI-CHAMA 450/750 V, PARA CIRCUITOS TERMINAIS - FORNECIMENTO E INSTALAÇÃO. AF_12/2015</t>
  </si>
  <si>
    <t>(U)1014</t>
  </si>
  <si>
    <t>CABO DE COBRE, FLEXIVEL, CLASSE 4 OU 5, ISOLACAO EM PVC/A, ANTICHAMA BWF-B, 1 CONDUTOR, 450/750 V, SECAO NOMINAL 2,5 MM2</t>
  </si>
  <si>
    <t>(U)21127</t>
  </si>
  <si>
    <t>FITA ISOLANTE ADESIVA ANTICHAMA, USO ATE 750 V, EM ROLO DE 19 MM X 5 M</t>
  </si>
  <si>
    <r>
      <t>(U)</t>
    </r>
    <r>
      <rPr>
        <b/>
        <sz val="10"/>
        <color indexed="8"/>
        <rFont val="Arial"/>
        <family val="2"/>
      </rPr>
      <t>91931U</t>
    </r>
  </si>
  <si>
    <t>CABO DE COBRE FLEXÍVEL ISOLADO, 6 MM², ANTI-CHAMA 0,6/1,0 KV, PARA CIRCUITOS TERMINAIS - FORNECIMENTO E INSTALAÇÃO. AF_12/2015</t>
  </si>
  <si>
    <t>(U)994</t>
  </si>
  <si>
    <t>CABO DE COBRE, FLEXIVEL, CLASSE 4 OU 5, ISOLACAO EM PVC/A, ANTICHAMA BWF-B, COBERTURA PVC-ST1, ANTICHAMA BWF-B, 1 CONDUTOR, 0,6/1 KV, SECAO NOMINAL 6 MM2</t>
  </si>
  <si>
    <r>
      <t>(U)</t>
    </r>
    <r>
      <rPr>
        <b/>
        <sz val="10"/>
        <color indexed="8"/>
        <rFont val="Arial"/>
        <family val="2"/>
      </rPr>
      <t>16.007.0001.S.CBR.RJ</t>
    </r>
  </si>
  <si>
    <t>Fornecimento e instalação de sensor de presença para teto</t>
  </si>
  <si>
    <t>(U)39392</t>
  </si>
  <si>
    <t>SENSOR DE PRESENCA BIVOLT DE PAREDE COM FOTOCELULA PARA QUALQUER TIPO DE LAMPADA POTENCIA MAXIMA *1000* W, USO INTERNO</t>
  </si>
  <si>
    <r>
      <t>(U)</t>
    </r>
    <r>
      <rPr>
        <b/>
        <sz val="10"/>
        <color indexed="8"/>
        <rFont val="Arial"/>
        <family val="2"/>
      </rPr>
      <t>16.007.0002.S.CBR.RJ</t>
    </r>
  </si>
  <si>
    <t>Fornecimento e instalação de Interruptor Diferencial Tetrapolar 4 x 25 A / 30 mA. Ref.: RDW30-25-4 da WEG ou equivalentes técnicos.</t>
  </si>
  <si>
    <t>(U)16.007.0004.M.CBR.RJ</t>
  </si>
  <si>
    <r>
      <t>(U)</t>
    </r>
    <r>
      <rPr>
        <b/>
        <sz val="10"/>
        <color indexed="8"/>
        <rFont val="Arial"/>
        <family val="2"/>
      </rPr>
      <t>91952U</t>
    </r>
  </si>
  <si>
    <t>INTERRUPTOR SIMPLES (1 MÓDULO), 10A/250V, SEM SUPORTE E SEM PLACA - FORNECIMENTO E INSTALAÇÃO. AF_12/2015</t>
  </si>
  <si>
    <t>(U)38112</t>
  </si>
  <si>
    <t>INTERRUPTOR SIMPLES 10A, 250V (APENAS MODULO)</t>
  </si>
  <si>
    <r>
      <t>(U)</t>
    </r>
    <r>
      <rPr>
        <b/>
        <sz val="10"/>
        <color indexed="8"/>
        <rFont val="Arial"/>
        <family val="2"/>
      </rPr>
      <t>91953U</t>
    </r>
  </si>
  <si>
    <t>INTERRUPTOR SIMPLES (1 MÓDULO), 10A/250V, INCLUINDO SUPORTE E PLACA - FORNECIMENTO E INSTALAÇÃO. AF_12/2015</t>
  </si>
  <si>
    <t>(U)91946U</t>
  </si>
  <si>
    <t>SUPORTE PARAFUSADO COM PLACA DE ENCAIXE 4" X 2" MÉDIO (1,30 M DO PISO) PARA PONTO ELÉTRICO - FORNECIMENTO E INSTALAÇÃO. AF_12/2015</t>
  </si>
  <si>
    <t>(U)91952U</t>
  </si>
  <si>
    <r>
      <t>(U)</t>
    </r>
    <r>
      <rPr>
        <b/>
        <sz val="10"/>
        <color indexed="8"/>
        <rFont val="Arial"/>
        <family val="2"/>
      </rPr>
      <t>91991U</t>
    </r>
  </si>
  <si>
    <t>TOMADA ALTA DE EMBUTIR (1 MÓDULO), 2P+T 20 A, SEM SUPORTE E SEM PLACA - FORNECIMENTO E INSTALAÇÃO. AF_12/2015</t>
  </si>
  <si>
    <t>(U)38102</t>
  </si>
  <si>
    <t>TOMADA 2P+T 20A, 250V (APENAS MODULO)</t>
  </si>
  <si>
    <r>
      <t>(U)</t>
    </r>
    <r>
      <rPr>
        <b/>
        <sz val="10"/>
        <color indexed="8"/>
        <rFont val="Arial"/>
        <family val="2"/>
      </rPr>
      <t>95472U</t>
    </r>
  </si>
  <si>
    <t>VASO SANITARIO SIFONADO CONVENCIONAL PARA PCD SEM FURO FRONTAL COM LOUÇA BRANCA SEM ASSENTO, INCLUSO CONJUNTO DE LIGAÇÃO PARA BACIA SANITÁRIA AJUSTÁVEL - FORNECIMENTO E INSTALAÇÃO. AF_10/2016</t>
  </si>
  <si>
    <t>(U)6142</t>
  </si>
  <si>
    <t>CONJUNTO DE LIGACAO PARA BACIA SANITARIA AJUSTAVEL, EM PLASTICO BRANCO, COM TUBO, CANOPLA E ESPUDE</t>
  </si>
  <si>
    <t>(U)95471U</t>
  </si>
  <si>
    <t>VASO SANITARIO SIFONADO CONVENCIONAL PARA PCD SEM FURO FRONTAL COM LOUÇA BRANCA SEM ASSENTO - FORNECIMENTO E INSTALAÇÃO. AF_10/2016</t>
  </si>
  <si>
    <r>
      <t>(U)</t>
    </r>
    <r>
      <rPr>
        <b/>
        <sz val="10"/>
        <color indexed="8"/>
        <rFont val="Arial"/>
        <family val="2"/>
      </rPr>
      <t>98.011.ESP.TCPO.SIN</t>
    </r>
  </si>
  <si>
    <t>Placa (espelho) para caixa, 4" x 2" em PVC na cor cinza, com 2 postos para interruptor simples e tomada 2P+T 20A. Ref.: Tramontina, Pial Legrand ou equivalentes técnicos.</t>
  </si>
  <si>
    <t>(U)38093</t>
  </si>
  <si>
    <t>ESPELHO / PLACA DE 2 POSTOS 4" X 2", PARA INSTALACAO DE TOMADAS E INTERRUPTORES</t>
  </si>
  <si>
    <r>
      <t>(U)</t>
    </r>
    <r>
      <rPr>
        <b/>
        <sz val="10"/>
        <color indexed="8"/>
        <rFont val="Arial"/>
        <family val="2"/>
      </rPr>
      <t>98.012.ESP.TCPO.SIN</t>
    </r>
  </si>
  <si>
    <t>Placa (espelho) para caixa, 4" x 2" em PVC na cor cinza, com 1 posto para interruptor simples. Ref.: Tramontina, Pial Legrand ou equivalentes técnicos.</t>
  </si>
  <si>
    <r>
      <t>(U)</t>
    </r>
    <r>
      <rPr>
        <b/>
        <sz val="10"/>
        <color indexed="8"/>
        <rFont val="Arial"/>
        <family val="2"/>
      </rPr>
      <t>98.013.ESP.TCPO.SIN</t>
    </r>
  </si>
  <si>
    <t>Placa (espelho) para caixa, 4" x 2" em PVC na cor cinza, com 1 posto para tomada 2P+T 20A. Ref.: Tramontina, Pial Legrand ou equivalentes técnicos.</t>
  </si>
  <si>
    <r>
      <t>(U)</t>
    </r>
    <r>
      <rPr>
        <b/>
        <sz val="10"/>
        <color indexed="8"/>
        <rFont val="Arial"/>
        <family val="2"/>
      </rPr>
      <t>16.008.0001.S.CBR.RJ</t>
    </r>
  </si>
  <si>
    <t>(U)3799</t>
  </si>
  <si>
    <t>LUMINARIA DE SOBREPOR EM CHAPA DE ACO PARA 2 LAMPADAS FLUORESCENTES DE *36* W, ALETADA, COMPLETA (LAMPADAS E REATOR INCLUSOS)</t>
  </si>
  <si>
    <t>Coeficientes baseados no item SINAPI 73953</t>
  </si>
  <si>
    <r>
      <t>(U)</t>
    </r>
    <r>
      <rPr>
        <b/>
        <sz val="10"/>
        <color indexed="8"/>
        <rFont val="Arial"/>
        <family val="2"/>
      </rPr>
      <t>16.008.0002.S.CBR.RJ</t>
    </r>
  </si>
  <si>
    <t>Fornecimento e Instalação de Luminária circular de embutir com vidro recuado completa com duas lâmpadas fluorescentes compactas de 26W (4 pinos) com reator eletrônico simples de alta freqüência, alto fator de potência e baixa taxa de distorção harmônica. Ref.: Âmbar da Itaim ou equivalentes técnicos.</t>
  </si>
  <si>
    <t>(U)16.008.0001.M.CBR.RJ</t>
  </si>
  <si>
    <t>Luminária circular de embutir com vidro recuado completa</t>
  </si>
  <si>
    <t>(U)16.008.0002.M.CBR.RJ</t>
  </si>
  <si>
    <t>Lâmpadas fluorescentes compactas de 26W (4 pinos)</t>
  </si>
  <si>
    <t>(U)16.008.0003.M.CBR.RJ</t>
  </si>
  <si>
    <t>Reator eletronico 2x26w para lampada 4 pinos</t>
  </si>
  <si>
    <t>Coeficientes e insumos ajustados segundo o item SINAPI 73953</t>
  </si>
  <si>
    <r>
      <t>(U)</t>
    </r>
    <r>
      <rPr>
        <b/>
        <sz val="10"/>
        <color indexed="8"/>
        <rFont val="Arial"/>
        <family val="2"/>
      </rPr>
      <t>16.008.0003.S.CBR.RJ</t>
    </r>
  </si>
  <si>
    <t>Fornecimento e Instalaçaõ de Luminária circular de embutir com foco orientável para 1 lâmpada halógena dicróica de 50W, 12V.</t>
  </si>
  <si>
    <t>(U)16.008.0004.M.CBR.RJ</t>
  </si>
  <si>
    <t>Luminária circular de embutir com foco orientável para 1 lâmpada halógena dicróica de 50W, 12V completa</t>
  </si>
  <si>
    <r>
      <t>(U)</t>
    </r>
    <r>
      <rPr>
        <b/>
        <sz val="10"/>
        <color indexed="8"/>
        <rFont val="Arial"/>
        <family val="2"/>
      </rPr>
      <t>73953/1U</t>
    </r>
  </si>
  <si>
    <t>LUMINARIA TIPO CALHA, DE SOBREPOR, COM REATOR DE PARTIDA RAPIDA E LAMPADA FLUORESCENTE 1X20W, COMPLETA, FORNECIMENTO E INSTALACAO</t>
  </si>
  <si>
    <t>(U)3788</t>
  </si>
  <si>
    <t>LUMINARIA DE SOBREPOR EM CHAPA DE ACO PARA 1 LAMPADA FLUORESCENTE DE *18* W, ALETADA, COMPLETA (LAMPADA E REATOR INCLUSOS)</t>
  </si>
  <si>
    <r>
      <t>(U)</t>
    </r>
    <r>
      <rPr>
        <b/>
        <sz val="10"/>
        <color indexed="8"/>
        <rFont val="Arial"/>
        <family val="2"/>
      </rPr>
      <t>16.009.0001.S.CBR.RJ</t>
    </r>
  </si>
  <si>
    <t>Fornecimento e instalação de Quadro de distribuição de sobrepor 24 módulos (2x12) TTA, com placa de montagem, porta interna perfis verticais com trilhos DIN - Referência: TTW01-QD da WEG ou equivalentes técnicos.</t>
  </si>
  <si>
    <t>(U)16.009.0001.M.CBR.RJ</t>
  </si>
  <si>
    <t>Referencia ao item SINAPI 74131</t>
  </si>
  <si>
    <r>
      <t>(U)</t>
    </r>
    <r>
      <rPr>
        <b/>
        <sz val="10"/>
        <color indexed="8"/>
        <rFont val="Arial"/>
        <family val="2"/>
      </rPr>
      <t>93654U</t>
    </r>
  </si>
  <si>
    <t>DISJUNTOR MONOPOLAR TIPO DIN, CORRENTE NOMINAL DE 16A - FORNECIMENTO E INSTALAÇÃO. AF_04/2016</t>
  </si>
  <si>
    <t>(U)1570</t>
  </si>
  <si>
    <t>TERMINAL A COMPRESSAO EM COBRE ESTANHADO PARA CABO 2,5 MM2, 1 FURO E 1 COMPRESSAO, PARA PARAFUSO DE FIXACAO M5</t>
  </si>
  <si>
    <t>(U)34653</t>
  </si>
  <si>
    <t>DISJUNTOR TIPO DIN/IEC, MONOPOLAR DE 6 ATE 32A</t>
  </si>
  <si>
    <r>
      <t>(U)</t>
    </r>
    <r>
      <rPr>
        <b/>
        <sz val="10"/>
        <color indexed="8"/>
        <rFont val="Arial"/>
        <family val="2"/>
      </rPr>
      <t>93656U</t>
    </r>
  </si>
  <si>
    <t>DISJUNTOR MONOPOLAR TIPO DIN, CORRENTE NOMINAL DE 25A - FORNECIMENTO E INSTALAÇÃO. AF_04/2016</t>
  </si>
  <si>
    <t>(U)1571</t>
  </si>
  <si>
    <t>TERMINAL A COMPRESSAO EM COBRE ESTANHADO PARA CABO 4 MM2, 1 FURO E 1 COMPRESSAO, PARA PARAFUSO DE FIXACAO M5</t>
  </si>
  <si>
    <r>
      <t>(U)</t>
    </r>
    <r>
      <rPr>
        <b/>
        <sz val="10"/>
        <color indexed="8"/>
        <rFont val="Arial"/>
        <family val="2"/>
      </rPr>
      <t>89580U</t>
    </r>
  </si>
  <si>
    <t>TUBO PVC, SÉRIE R, ÁGUA PLUVIAL, DN 150 MM, FORNECIDO E INSTALADO EM CONDUTORES VERTICAIS DE ÁGUAS PLUVIAIS. AF_12/2014</t>
  </si>
  <si>
    <t>(U)20073</t>
  </si>
  <si>
    <t>TUBO PVC, PL, SERIE R, DN 150 MM, PARA ESGOTO OU AGUAS PLUVIAIS PREDIAL (NBR 5688)</t>
  </si>
  <si>
    <r>
      <t>(U)</t>
    </r>
    <r>
      <rPr>
        <b/>
        <sz val="10"/>
        <color indexed="8"/>
        <rFont val="Arial"/>
        <family val="2"/>
      </rPr>
      <t>91871U</t>
    </r>
  </si>
  <si>
    <t>ELETRODUTO RÍGIDO ROSCÁVEL, PVC, DN 25 MM (3/4"), PARA CIRCUITOS TERMINAIS, INSTALADO EM PAREDE - FORNECIMENTO E INSTALAÇÃO. AF_12/2015</t>
  </si>
  <si>
    <t>(U)2674</t>
  </si>
  <si>
    <t>ELETRODUTO DE PVC RIGIDO ROSCAVEL DE 3/4 ", SEM LUVA</t>
  </si>
  <si>
    <r>
      <t>(U)</t>
    </r>
    <r>
      <rPr>
        <b/>
        <sz val="10"/>
        <color indexed="8"/>
        <rFont val="Arial"/>
        <family val="2"/>
      </rPr>
      <t>91872U</t>
    </r>
  </si>
  <si>
    <t>ELETRODUTO RÍGIDO ROSCÁVEL, PVC, DN 32 MM (1"), PARA CIRCUITOS TERMINAIS, INSTALADO EM PAREDE - FORNECIMENTO E INSTALAÇÃO. AF_12/2015</t>
  </si>
  <si>
    <t>(U)2685</t>
  </si>
  <si>
    <t>ELETRODUTO DE PVC RIGIDO ROSCAVEL DE 1 ", SEM LUVA</t>
  </si>
  <si>
    <r>
      <t>(U)</t>
    </r>
    <r>
      <rPr>
        <b/>
        <sz val="10"/>
        <color indexed="8"/>
        <rFont val="Arial"/>
        <family val="2"/>
      </rPr>
      <t>95805U</t>
    </r>
  </si>
  <si>
    <t>CONDULETE DE PVC, TIPO B, PARA ELETRODUTO DE PVC SOLDÁVEL DN 25 MM (3/4), APARENTE - FORNECIMENTO E INSTALAÇÃO. AF_11/2016</t>
  </si>
  <si>
    <t>(U)12010</t>
  </si>
  <si>
    <t>CONDULETE EM PVC, TIPO "B", SEM TAMPA, DE 1/2" OU 3/4"</t>
  </si>
  <si>
    <r>
      <t>(U)</t>
    </r>
    <r>
      <rPr>
        <b/>
        <sz val="10"/>
        <color indexed="8"/>
        <rFont val="Arial"/>
        <family val="2"/>
      </rPr>
      <t>95806U</t>
    </r>
  </si>
  <si>
    <t>CONDULETE DE PVC, TIPO B, PARA ELETRODUTO DE PVC SOLDÁVEL DN 32 MM (1), APARENTE - FORNECIMENTO E INSTALAÇÃO. AF_11/2016</t>
  </si>
  <si>
    <t>(U)39329</t>
  </si>
  <si>
    <t>CONDULETE EM PVC, TIPO "B", SEM TAMPA, DE 1"</t>
  </si>
  <si>
    <r>
      <t>(U)</t>
    </r>
    <r>
      <rPr>
        <b/>
        <sz val="10"/>
        <color indexed="8"/>
        <rFont val="Arial"/>
        <family val="2"/>
      </rPr>
      <t>16.016.0001.S.CBR.RJ</t>
    </r>
  </si>
  <si>
    <t>(U)16.016.0001.M.CBR.RJ</t>
  </si>
  <si>
    <t>Alarme de Sinalização de Emergência para Sanitário - sinalização sonora e visual</t>
  </si>
  <si>
    <t>(U)95541U</t>
  </si>
  <si>
    <t>FIXAÇÃO UTILIZANDO PARAFUSO E BUCHA DE NYLON, SOMENTE MÃO DE OBRA. AF_10/2016</t>
  </si>
  <si>
    <t>Coeficientes e insumos ajustados para antender a demanda</t>
  </si>
  <si>
    <r>
      <t>(U)</t>
    </r>
    <r>
      <rPr>
        <b/>
        <sz val="10"/>
        <color indexed="8"/>
        <rFont val="Arial"/>
        <family val="2"/>
      </rPr>
      <t>19.004.0001.S.CBR.RJ</t>
    </r>
  </si>
  <si>
    <t>Fornecimento e instalação de Exaustor axial de baixo nível sonoro, IP-45, com comporta anti-retorno incorporada, motor 220 V, equipado com temporizador regulável. Vazão: 150 m³/h Pressão mínima requerida: 60 Pa. Modelo de referência: Silent-300 CRZ da Soler Palau, ou equivalente</t>
  </si>
  <si>
    <t>(U)19.004.0001.M.CBR.RJ</t>
  </si>
  <si>
    <t>Exaustor para Banheiro Mod: Silent-300CRZ</t>
  </si>
  <si>
    <t>Chapisco para parede interna ou externa com argamassa de cimento e areia traço 1:3</t>
  </si>
  <si>
    <t>(U)87314U</t>
  </si>
  <si>
    <t>ARGAMASSA TRAÇO 1:3 (CIMENTO E AREIA GROSSA) PARA CHAPISCO CONVENCIONAL, PREPARO MECÂNICO COM BETONEIRA 600 L. AF_06/2014</t>
  </si>
  <si>
    <r>
      <t>(U)</t>
    </r>
    <r>
      <rPr>
        <b/>
        <sz val="10"/>
        <color indexed="8"/>
        <rFont val="Arial"/>
        <family val="2"/>
      </rPr>
      <t>87825U</t>
    </r>
  </si>
  <si>
    <t>EMBOÇO OU MASSA ÚNICA EM ARGAMASSA TRAÇO 1:2:8, PREPARO MECÂNICO COM BETONEIRA 400 L, APLICADA MANUALMENTE NAS PAREDES INTERNAS DA SACADA, ESPESSURA DE 25 MM, SEM USO DE TELA METÁLICA DE REFORÇO CONTRA FISSURAÇÃO. AF_06/2014</t>
  </si>
  <si>
    <t>(U)87292U</t>
  </si>
  <si>
    <t>ARGAMASSA TRAÇO 1:2:8 (CIMENTO, CAL E AREIA MÉDIA) PARA EMBOÇO/MASSA ÚNICA/ASSENTAMENTO DE ALVENARIA DE VEDAÇÃO, PREPARO MECÂNICO COM BETONEIRA 400 L. AF_06/2014</t>
  </si>
  <si>
    <t>Fornecimento e aplicação de reboco</t>
  </si>
  <si>
    <t>(U)87408U</t>
  </si>
  <si>
    <t>ARGAMASSA INDUSTRIALIZADA PARA REVESTIMENTOS, MISTURA E PROJEÇÃO DE 2 M³/H DE ARGAMASSA. AF_06/2014</t>
  </si>
  <si>
    <r>
      <t>(U)</t>
    </r>
    <r>
      <rPr>
        <b/>
        <sz val="10"/>
        <color indexed="8"/>
        <rFont val="Arial"/>
        <family val="2"/>
      </rPr>
      <t>73806/1U</t>
    </r>
  </si>
  <si>
    <t>LIMPEZA DE SUPERFICIES COM JATO DE ALTA PRESSAO DE AR E AGUA</t>
  </si>
  <si>
    <t>(U)746</t>
  </si>
  <si>
    <t>LAVADORA DE ALTA PRESSAO (LAVA-JATO) PARA AGUA FRIA, PRESSAO DE OPERACAO ENTRE 1400 E 1900 LIB/POL2, VAZAO MAXIMA ENTRE 400 E 700 L/H</t>
  </si>
  <si>
    <r>
      <t>(U)</t>
    </r>
    <r>
      <rPr>
        <b/>
        <sz val="10"/>
        <color indexed="8"/>
        <rFont val="Arial"/>
        <family val="2"/>
      </rPr>
      <t>21.002.0001.S.CBR.RJ</t>
    </r>
  </si>
  <si>
    <t>(U)88269U</t>
  </si>
  <si>
    <t>GESSEIRO COM ENCARGOS COMPLEMENTARES</t>
  </si>
  <si>
    <t>(U)96371U</t>
  </si>
  <si>
    <t>PAREDE COM PLACAS DE GESSO ACARTONADO (DRYWALL), PARA USO INTERNO, COM UMA FACE SIMPLES E ESTRUTURA METÁLICA COM GUIAS SIMPLES, COM VÃOS. AF_06/2017_P</t>
  </si>
  <si>
    <r>
      <t>(U)</t>
    </r>
    <r>
      <rPr>
        <b/>
        <sz val="10"/>
        <color indexed="8"/>
        <rFont val="Arial"/>
        <family val="2"/>
      </rPr>
      <t>96114U</t>
    </r>
  </si>
  <si>
    <t>FORRO EM DRYWALL, PARA AMBIENTES COMERCIAIS, INCLUSIVE ESTRUTURA DE FIXAÇÃO. AF_05/2017_P</t>
  </si>
  <si>
    <t>(U)335</t>
  </si>
  <si>
    <t>ARAME GALVANIZADO 10 BWG, 3,40 MM (0,0713 KG/M)</t>
  </si>
  <si>
    <t>(U)39413</t>
  </si>
  <si>
    <t>CHAPA DE GESSO ACARTONADO, STANDARD (ST), COR BRANCA, E = 12,5 MM, 1200 X 2400 MM (L X C)</t>
  </si>
  <si>
    <t>(U)39427</t>
  </si>
  <si>
    <t>PERFIL CANALETA, FORMATO C, EM ACO ZINCADO, PARA ESTRUTURA FORRO DRYWALL, E = 0,5 MM, *46 X 18* (L X H), COMPRIMENTO 3 M</t>
  </si>
  <si>
    <t>(U)39430</t>
  </si>
  <si>
    <t>PENDURAL OU PRESILHA REGULADORA, EM ACO GALVANIZADO, COM CORPO, MOLA E REBITE, PARA PERFIL TIPO CANALETA DE ESTRUTURA EM FORROS DRYWALL</t>
  </si>
  <si>
    <t>(U)39432</t>
  </si>
  <si>
    <t>FITA DE PAPEL REFORCADA COM LAMINA DE METAL PARA REFORCO DE CANTOS DE CHAPA DE GESSO PARA DRYWALL</t>
  </si>
  <si>
    <t>(U)39434</t>
  </si>
  <si>
    <t>MASSA DE REJUNTE EM PO PARA DRYWALL, A BASE DE GESSO, SECAGEM RAPIDA, PARA TRATAMENTO DE JUNTAS DE CHAPA DE GESSO (COM ADICAO DE AGUA)</t>
  </si>
  <si>
    <t>(U)39435</t>
  </si>
  <si>
    <t>PARAFUSO DRY WALL, EM ACO FOSFATIZADO, CABECA TROMBETA E PONTA AGULHA (TA), COMPRIMENTO 25 MM</t>
  </si>
  <si>
    <t>(U)39443</t>
  </si>
  <si>
    <t>PARAFUSO DRY WALL, EM ACO ZINCADO, CABECA LENTILHA E PONTA BROCA (LB), LARGURA 4,2 MM, COMPRIMENTO 13 MM</t>
  </si>
  <si>
    <t>(U)40547</t>
  </si>
  <si>
    <t>PARAFUSO ZINCADO, AUTOBROCANTE, FLANGEADO, 4,2 X 19"</t>
  </si>
  <si>
    <t>CENTO</t>
  </si>
  <si>
    <t>(U)88278U</t>
  </si>
  <si>
    <t>MONTADOR DE ESTRUTURA METÁLICA COM ENCARGOS COMPLEMENTARES</t>
  </si>
  <si>
    <r>
      <t>(U)</t>
    </r>
    <r>
      <rPr>
        <b/>
        <sz val="10"/>
        <color indexed="8"/>
        <rFont val="Arial"/>
        <family val="2"/>
      </rPr>
      <t>73465U</t>
    </r>
  </si>
  <si>
    <t>PISO CIMENTADO E=1,5CM C/ARGAMASSA 1:3 CIMENTO AREIA ALISADO COLHER SOBRE BASE EXISTENTE E ARGAMASSA EM PREPARO MECANIZADO</t>
  </si>
  <si>
    <t>(U)88628U</t>
  </si>
  <si>
    <t>ARGAMASSA TRAÇO 1:3 (CIMENTO E AREIA MÉDIA), PREPARO MECÂNICO COM BETONEIRA 400 L. AF_08/2014</t>
  </si>
  <si>
    <r>
      <t>(U)</t>
    </r>
    <r>
      <rPr>
        <b/>
        <sz val="10"/>
        <color indexed="8"/>
        <rFont val="Arial"/>
        <family val="2"/>
      </rPr>
      <t>84191U</t>
    </r>
  </si>
  <si>
    <t>PISO EM GRANILITE, MARMORITE OU GRANITINA ESPESSURA 8 MM, INCLUSO JUNTAS DE DILATACAO PLASTICAS</t>
  </si>
  <si>
    <t>(U)3671</t>
  </si>
  <si>
    <t>JUNTA PLASTICA DE DILATACAO PARA PISOS, COR CINZA, 17 X 3 MM (ALTURA X ESPESSURA)</t>
  </si>
  <si>
    <t>(U)4786</t>
  </si>
  <si>
    <t>PISO EM GRANILITE, MARMORITE OU GRANITINA, AGREGADO COR PRETO, CINZA, PALHA OU BRANCO, E= *8* MM (INCLUSO EXECUCAO)</t>
  </si>
  <si>
    <t>(U)87373U</t>
  </si>
  <si>
    <t>ARGAMASSA TRAÇO 1:4 (CIMENTO E AREIA MÉDIA) PARA CONTRAPISO, PREPARO MANUAL. AF_06/2014</t>
  </si>
  <si>
    <r>
      <t>(U)</t>
    </r>
    <r>
      <rPr>
        <b/>
        <sz val="10"/>
        <color indexed="8"/>
        <rFont val="Arial"/>
        <family val="2"/>
      </rPr>
      <t>84190U</t>
    </r>
  </si>
  <si>
    <t>PISO GRANITO ASSENTADO SOBRE ARGAMASSA CIMENTO / CAL / AREIA TRACO 1:0,25:3 INCLUSIVE REJUNTE EM CIMENTO</t>
  </si>
  <si>
    <t>(U)10841</t>
  </si>
  <si>
    <t>PISO EM GRANITO, POLIDO, TIPO ANDORINHA/ QUARTZ/ CASTELO/ CORUMBA OU OUTROS EQUIVALENTES DA REGIAO, FORMATO MENOR OU IGUAL A 3025 CM2, E= *2* CM</t>
  </si>
  <si>
    <t>(U)87298U</t>
  </si>
  <si>
    <t>ARGAMASSA TRAÇO 1:3 (CIMENTO E AREIA MÉDIA) PARA CONTRAPISO, PREPARO MECÂNICO COM BETONEIRA 400 L. AF_06/2014</t>
  </si>
  <si>
    <r>
      <t>(U)</t>
    </r>
    <r>
      <rPr>
        <b/>
        <sz val="10"/>
        <color indexed="8"/>
        <rFont val="Arial"/>
        <family val="2"/>
      </rPr>
      <t>98.006.ESP.TCPO.SIN</t>
    </r>
  </si>
  <si>
    <t>Rodapé de granito natural de 10 cm de altura, assentado com argamassa mista de cimento, cal hidratada e areia sem peneirar traço 1:1:4</t>
  </si>
  <si>
    <t>(U)20231</t>
  </si>
  <si>
    <t>RODAPE OU RODABANCADA EM GRANITO, POLIDO, TIPO ANDORINHA/ QUARTZ/ CASTELO/ CORUMBA OU OUTROS EQUIVALENTES DA REGIAO, H= 10 CM, E= *2,0* CM</t>
  </si>
  <si>
    <r>
      <t>(U)</t>
    </r>
    <r>
      <rPr>
        <b/>
        <sz val="10"/>
        <color indexed="8"/>
        <rFont val="Arial"/>
        <family val="2"/>
      </rPr>
      <t>98.010.ESP.TCPO.SIN</t>
    </r>
  </si>
  <si>
    <t>Soleira de granito natural de 15 cm de largura, assentado com argamassa colante</t>
  </si>
  <si>
    <t>(U)1381</t>
  </si>
  <si>
    <t>ARGAMASSA COLANTE AC I PARA CERAMICAS</t>
  </si>
  <si>
    <t>(U)20232</t>
  </si>
  <si>
    <t>SOLEIRA EM GRANITO, POLIDO, TIPO ANDORINHA/ QUARTZ/ CASTELO/ CORUMBA OU OUTROS EQUIVALENTES DA REGIAO, L= *15* CM, E= *2,0* CM</t>
  </si>
  <si>
    <r>
      <t>(U)</t>
    </r>
    <r>
      <rPr>
        <b/>
        <sz val="10"/>
        <color indexed="8"/>
        <rFont val="Arial"/>
        <family val="2"/>
      </rPr>
      <t>87267U</t>
    </r>
  </si>
  <si>
    <t>REVESTIMENTO CERÂMICO PARA PAREDES INTERNAS COM PLACAS TIPO ESMALTADA EXTRA DE DIMENSÕES 20X20 CM APLICADAS EM AMBIENTES DE ÁREA MAIOR QUE 5 M² A MEIA ALTURA DAS PAREDES. AF_06/2014</t>
  </si>
  <si>
    <t>(U)34357</t>
  </si>
  <si>
    <t>REJUNTE COLORIDO, CIMENTICIO</t>
  </si>
  <si>
    <t>(U)536</t>
  </si>
  <si>
    <t>REVESTIMENTO EM CERAMICA ESMALTADA EXTRA, PEI MENOR OU IGUAL A 3, FORMATO MENOR OU IGUAL A 2025 CM2</t>
  </si>
  <si>
    <t>(U)88256U</t>
  </si>
  <si>
    <t>AZULEJISTA OU LADRILHISTA COM ENCARGOS COMPLEMENTARES</t>
  </si>
  <si>
    <r>
      <t>(U)</t>
    </r>
    <r>
      <rPr>
        <b/>
        <sz val="10"/>
        <color indexed="8"/>
        <rFont val="Arial"/>
        <family val="2"/>
      </rPr>
      <t>98.005.ESP.TCPO.SIN</t>
    </r>
  </si>
  <si>
    <t>Rejuntamento de parede de tijolos a vista existente</t>
  </si>
  <si>
    <r>
      <t>(U)</t>
    </r>
    <r>
      <rPr>
        <b/>
        <sz val="10"/>
        <color indexed="8"/>
        <rFont val="Arial"/>
        <family val="2"/>
      </rPr>
      <t>88483U</t>
    </r>
  </si>
  <si>
    <t>APLICAÇÃO DE FUNDO SELADOR LÁTEX PVA EM PAREDES, UMA DEMÃO. AF_06/2014</t>
  </si>
  <si>
    <t>(U)6090</t>
  </si>
  <si>
    <t>SELADOR PVA PAREDES INTERNAS</t>
  </si>
  <si>
    <r>
      <t>(U)</t>
    </r>
    <r>
      <rPr>
        <b/>
        <sz val="10"/>
        <color indexed="8"/>
        <rFont val="Arial"/>
        <family val="2"/>
      </rPr>
      <t>88485U</t>
    </r>
  </si>
  <si>
    <t>APLICAÇÃO DE FUNDO SELADOR ACRÍLICO EM PAREDES, UMA DEMÃO. AF_06/2014</t>
  </si>
  <si>
    <t>(U)6085</t>
  </si>
  <si>
    <t>SELADOR ACRILICO PAREDES INTERNAS/EXTERNAS</t>
  </si>
  <si>
    <r>
      <t>(U)</t>
    </r>
    <r>
      <rPr>
        <b/>
        <sz val="10"/>
        <color indexed="8"/>
        <rFont val="Arial"/>
        <family val="2"/>
      </rPr>
      <t>88487U</t>
    </r>
  </si>
  <si>
    <t>APLICAÇÃO MANUAL DE PINTURA COM TINTA LÁTEX PVA EM PAREDES, DUAS DEMÃOS. AF_06/2014</t>
  </si>
  <si>
    <t>(U)7345</t>
  </si>
  <si>
    <t>TINTA LATEX PVA PREMIUM, COR BRANCA</t>
  </si>
  <si>
    <r>
      <t>(U)</t>
    </r>
    <r>
      <rPr>
        <b/>
        <sz val="10"/>
        <color indexed="8"/>
        <rFont val="Arial"/>
        <family val="2"/>
      </rPr>
      <t>88489U</t>
    </r>
  </si>
  <si>
    <t>APLICAÇÃO MANUAL DE PINTURA COM TINTA LÁTEX ACRÍLICA EM PAREDES, DUAS DEMÃOS. AF_06/2014</t>
  </si>
  <si>
    <t>(U)7356</t>
  </si>
  <si>
    <t>TINTA ACRILICA PREMIUM, COR BRANCO FOSCO</t>
  </si>
  <si>
    <t>(U)4048</t>
  </si>
  <si>
    <t>MASSA CORRIDA PVA PARA PAREDES INTERNAS</t>
  </si>
  <si>
    <r>
      <t>(U)</t>
    </r>
    <r>
      <rPr>
        <b/>
        <sz val="10"/>
        <color indexed="8"/>
        <rFont val="Arial"/>
        <family val="2"/>
      </rPr>
      <t>26.001.0001.S.CBR.RJ</t>
    </r>
  </si>
  <si>
    <t>Fornecimento e instalação de assento para vaso sanitário</t>
  </si>
  <si>
    <t>(U)377</t>
  </si>
  <si>
    <t>ASSENTO SANITARIO DE PLASTICO, TIPO CONVENCIONAL</t>
  </si>
  <si>
    <r>
      <t>(U)</t>
    </r>
    <r>
      <rPr>
        <b/>
        <sz val="10"/>
        <color indexed="8"/>
        <rFont val="Arial"/>
        <family val="2"/>
      </rPr>
      <t>26.001.0002.S.CBR.RJ</t>
    </r>
  </si>
  <si>
    <t>Fornecimento e instalação de assento para vaso sanitário PNE</t>
  </si>
  <si>
    <t>(U)26.001.0002.M.CBR.RJ</t>
  </si>
  <si>
    <t>Assento sanitário para banheiro PNE</t>
  </si>
  <si>
    <r>
      <t>(U)</t>
    </r>
    <r>
      <rPr>
        <b/>
        <sz val="10"/>
        <color indexed="8"/>
        <rFont val="Arial"/>
        <family val="2"/>
      </rPr>
      <t>40729U</t>
    </r>
  </si>
  <si>
    <t>VALVULA DESCARGA 1.1/2" COM REGISTRO, ACABAMENTO EM METAL CROMADO - FORNECIMENTO E INSTALACAO</t>
  </si>
  <si>
    <t>(U)10228</t>
  </si>
  <si>
    <t>VALVULA DE DESCARGA METALICA, BASE 1 1/2 " E ACABAMENTO METALICO CROMADO</t>
  </si>
  <si>
    <t>(U)13</t>
  </si>
  <si>
    <t>ESTOPA</t>
  </si>
  <si>
    <t>(U)7307</t>
  </si>
  <si>
    <t>FUNDO ANTICORROSIVO PARA METAIS FERROSOS (ZARCAO)</t>
  </si>
  <si>
    <t>(U)88242U</t>
  </si>
  <si>
    <t>AJUDANTE DE PEDREIRO COM ENCARGOS COMPLEMENTARES</t>
  </si>
  <si>
    <r>
      <t>(U)</t>
    </r>
    <r>
      <rPr>
        <b/>
        <sz val="10"/>
        <color indexed="8"/>
        <rFont val="Arial"/>
        <family val="2"/>
      </rPr>
      <t>86886U</t>
    </r>
  </si>
  <si>
    <t>ENGATE FLEXÍVEL EM INOX, 1/2? X 30CM - FORNECIMENTO E INSTALAÇÃO. AF_12/2013</t>
  </si>
  <si>
    <t>(U)11683</t>
  </si>
  <si>
    <t>ENGATE / RABICHO FLEXIVEL INOX 1/2 " X 30 CM</t>
  </si>
  <si>
    <t>(U)3146</t>
  </si>
  <si>
    <t>FITA VEDA ROSCA EM ROLOS DE 18 MM X 10 M (L X C)</t>
  </si>
  <si>
    <r>
      <t>(U)</t>
    </r>
    <r>
      <rPr>
        <b/>
        <sz val="10"/>
        <color indexed="8"/>
        <rFont val="Arial"/>
        <family val="2"/>
      </rPr>
      <t>95469U</t>
    </r>
  </si>
  <si>
    <t>VASO SANITARIO SIFONADO CONVENCIONAL COM LOUÇA BRANCA - FORNECIMENTO E INSTALAÇÃO. AF_10/2016</t>
  </si>
  <si>
    <t>(U)10420</t>
  </si>
  <si>
    <t>BACIA SANITARIA (VASO) CONVENCIONAL DE LOUCA BRANCA</t>
  </si>
  <si>
    <t>(U)37329</t>
  </si>
  <si>
    <t>REJUNTE EPOXI BRANCO</t>
  </si>
  <si>
    <t>(U)4384</t>
  </si>
  <si>
    <t>PARAFUSO NIQUELADO COM ACABAMENTO CROMADO PARA FIXAR PECA SANITARIA, INCLUI PORCA CEGA, ARRUELA E BUCHA DE NYLON TAMANHO S-10</t>
  </si>
  <si>
    <t>(U)6138</t>
  </si>
  <si>
    <t>VEDACAO PVC, 100 MM, PARA SAIDA VASO SANITARIO</t>
  </si>
  <si>
    <r>
      <t>(U)</t>
    </r>
    <r>
      <rPr>
        <b/>
        <sz val="10"/>
        <color indexed="8"/>
        <rFont val="Arial"/>
        <family val="2"/>
      </rPr>
      <t>26.002.0001.S.CBR.RJ</t>
    </r>
  </si>
  <si>
    <t>Fornecimento e instalação de prateleiras de apoio dos sanitários em granito cinza andorinha ou equivalente, espessura de 2 cm, com todas as faces aparentes com acabamento polido com 22cm de largura até 90cm de comprimento</t>
  </si>
  <si>
    <t>(U)11795</t>
  </si>
  <si>
    <t>GRANITO PARA BANCADA, POLIDO, TIPO ANDORINHA/ QUARTZ/ CASTELO/ CORUMBA OU OUTROS EQUIVALENTES DA REGIAO, E= *2,5* CM</t>
  </si>
  <si>
    <t>(U)37590</t>
  </si>
  <si>
    <t>SUPORTE MAO-FRANCESA EM ACO, ABAS IGUAIS 30 CM, CAPACIDADE MINIMA 60 KG, BRANCO</t>
  </si>
  <si>
    <r>
      <t>(U)</t>
    </r>
    <r>
      <rPr>
        <b/>
        <sz val="10"/>
        <color indexed="8"/>
        <rFont val="Arial"/>
        <family val="2"/>
      </rPr>
      <t>26.004.0001.S.CBR.RJ</t>
    </r>
  </si>
  <si>
    <t>Fornecimento e instalação de barra de apoio tipo ''u'' para lavatorio</t>
  </si>
  <si>
    <t>(U)26.004.0001.M.CBR.RJ</t>
  </si>
  <si>
    <t>Barra de apoio tipo ''U'' para lavatorio</t>
  </si>
  <si>
    <t>Coeficientes adotados mediante PINI 26.104.000060 com acrescimo devido a quantidade de barras (02) por lavatório</t>
  </si>
  <si>
    <t>Fornecimento e instalação de barra de apoio em aço inox, 70 cm</t>
  </si>
  <si>
    <t>(U)36205</t>
  </si>
  <si>
    <t>BARRA DE APOIO RETA, EM ACO INOX POLIDO, COMPRIMENTO 70CM, DIAMETRO MINIMO 3 CM</t>
  </si>
  <si>
    <t>(U)88251U</t>
  </si>
  <si>
    <t>AUXILIAR DE SERRALHEIRO COM ENCARGOS COMPLEMENTARES</t>
  </si>
  <si>
    <r>
      <t>(U)</t>
    </r>
    <r>
      <rPr>
        <b/>
        <sz val="10"/>
        <color indexed="8"/>
        <rFont val="Arial"/>
        <family val="2"/>
      </rPr>
      <t>86881U</t>
    </r>
  </si>
  <si>
    <t>SIFÃO DO TIPO GARRAFA EM METAL CROMADO 1 X 1.1/2" - FORNECIMENTO E INSTALAÇÃO. AF_12/2013</t>
  </si>
  <si>
    <t>(U)6136</t>
  </si>
  <si>
    <t>SIFAO EM METAL CROMADO PARA PIA OU LAVATORIO, 1 X 1.1/2 "</t>
  </si>
  <si>
    <r>
      <t>(U)</t>
    </r>
    <r>
      <rPr>
        <b/>
        <sz val="10"/>
        <color indexed="8"/>
        <rFont val="Arial"/>
        <family val="2"/>
      </rPr>
      <t>86903U</t>
    </r>
  </si>
  <si>
    <t>LAVATÓRIO LOUÇA BRANCA COM COLUNA, 45 X 55CM OU EQUIVALENTE, PADRÃO MÉDIO - FORNECIMENTO E INSTALAÇÃO. AF_12/2013</t>
  </si>
  <si>
    <t>(U)10426</t>
  </si>
  <si>
    <t>LAVATORIO LOUCA BRANCA COM COLUNA *54 X 44* CM</t>
  </si>
  <si>
    <t>(U)4351</t>
  </si>
  <si>
    <t>PARAFUSO NIQUELADO 3 1/2" COM ACABAMENTO CROMADO PARA FIXAR PECA SANITARIA, INCLUI PORCA CEGA, ARRUELA E BUCHA DE NYLON TAMANHO S-8</t>
  </si>
  <si>
    <r>
      <t>(U)</t>
    </r>
    <r>
      <rPr>
        <b/>
        <sz val="10"/>
        <color indexed="8"/>
        <rFont val="Arial"/>
        <family val="2"/>
      </rPr>
      <t>86943U</t>
    </r>
  </si>
  <si>
    <t>LAVATÓRIO LOUÇA BRANCA SUSPENSO, 29,5 X 39CM OU EQUIVALENTE, PADRÃO POPULAR, INCLUSO SIFÃO FLEXÍVEL EM PVC, VÁLVULA E ENGATE FLEXÍVEL 30CM EM PLÁSTICO E TORNEIRA CROMADA DE MESA, PADRÃO POPULAR - FORNECIMENTO E INSTALAÇÃO. AF_12/2013</t>
  </si>
  <si>
    <t>(U)86879U</t>
  </si>
  <si>
    <t>VÁLVULA EM PLÁSTICO 1" PARA PIA, TANQUE OU LAVATÓRIO, COM OU SEM LADRÃO - FORNECIMENTO E INSTALAÇÃO. AF_12/2013</t>
  </si>
  <si>
    <t>(U)86883U</t>
  </si>
  <si>
    <t>SIFÃO DO TIPO FLEXÍVEL EM PVC 1? X 1.1/2? - FORNECIMENTO E INSTALAÇÃO. AF_12/2013</t>
  </si>
  <si>
    <t>(U)86884U</t>
  </si>
  <si>
    <t>ENGATE FLEXÍVEL EM PLÁSTICO BRANCO, 1/2" X 30CM - FORNECIMENTO E INSTALAÇÃO. AF_12/2013</t>
  </si>
  <si>
    <t>(U)86904U</t>
  </si>
  <si>
    <t>LAVATÓRIO LOUÇA BRANCA SUSPENSO, 29,5 X 39CM OU EQUIVALENTE, PADRÃO POPULAR - FORNECIMENTO E INSTALAÇÃO. AF_12/2013</t>
  </si>
  <si>
    <t>(U)86906U</t>
  </si>
  <si>
    <t>TORNEIRA CROMADA DE MESA, 1/2" OU 3/4", PARA LAVATÓRIO, PADRÃO POPULAR - FORNECIMENTO E INSTALAÇÃO. AF_12/2013</t>
  </si>
  <si>
    <r>
      <t>(U)</t>
    </r>
    <r>
      <rPr>
        <b/>
        <sz val="10"/>
        <color indexed="8"/>
        <rFont val="Arial"/>
        <family val="2"/>
      </rPr>
      <t>26.011.0001.S.CBR.RJ</t>
    </r>
  </si>
  <si>
    <t>(U)21112</t>
  </si>
  <si>
    <t>VALVULA DE DESCARGA EM METAL CROMADO PARA MICTORIO COM ACIONAMENTO POR PRESSAO E FECHAMENTO AUTOMATICO</t>
  </si>
  <si>
    <t>(U)3143</t>
  </si>
  <si>
    <t>FITA VEDA ROSCA EM ROLOS DE 18 MM X 25 M (L X C)</t>
  </si>
  <si>
    <r>
      <t>(U)</t>
    </r>
    <r>
      <rPr>
        <b/>
        <sz val="10"/>
        <color indexed="8"/>
        <rFont val="Arial"/>
        <family val="2"/>
      </rPr>
      <t>74234/1U</t>
    </r>
  </si>
  <si>
    <t>MICTORIO SIFONADO DE LOUCA BRANCA COM PERTENCES, COM REGISTRO DE PRESSAO 1/2" COM CANOPLA CROMADA ACABAMENTO SIMPLES E CONJUNTO PARA FIXACAO - FORNECIMENTO E INSTALACAO</t>
  </si>
  <si>
    <t>(U)10432</t>
  </si>
  <si>
    <t>MICTORIO SIFONADO LOUCA BRANCA SEM COMPLEMENTOS</t>
  </si>
  <si>
    <t>(U)6021</t>
  </si>
  <si>
    <t>REGISTRO PRESSAO COM ACABAMENTO E CANOPLA CROMADA, SIMPLES, BITOLA 1/2 " (REF 1416)</t>
  </si>
  <si>
    <r>
      <t>(U)</t>
    </r>
    <r>
      <rPr>
        <b/>
        <sz val="10"/>
        <color indexed="8"/>
        <rFont val="Arial"/>
        <family val="2"/>
      </rPr>
      <t>26.015.0001.S.CBR.RJ</t>
    </r>
  </si>
  <si>
    <t>Fornecimento e instalação de suporte para papel higiênico modelo industrial</t>
  </si>
  <si>
    <t>(U)37400</t>
  </si>
  <si>
    <t>PAPELEIRA PLASTICA TIPO DISPENSER PARA PAPEL HIGIENICO ROLAO</t>
  </si>
  <si>
    <r>
      <t>(U)</t>
    </r>
    <r>
      <rPr>
        <b/>
        <sz val="10"/>
        <color indexed="8"/>
        <rFont val="Arial"/>
        <family val="2"/>
      </rPr>
      <t>95544U</t>
    </r>
  </si>
  <si>
    <t>PAPELEIRA DE PAREDE EM METAL CROMADO SEM TAMPA, INCLUSO FIXAÇÃO. AF_10/2016</t>
  </si>
  <si>
    <t>(U)11703</t>
  </si>
  <si>
    <t>PAPELEIRA DE PAREDE EM METAL CROMADO SEM TAMPA</t>
  </si>
  <si>
    <r>
      <t>(U)</t>
    </r>
    <r>
      <rPr>
        <b/>
        <sz val="10"/>
        <color indexed="8"/>
        <rFont val="Arial"/>
        <family val="2"/>
      </rPr>
      <t>26.017.0001.S.CBR.RJ</t>
    </r>
  </si>
  <si>
    <t>Instalação de bebedouro acessível, inclusive acessórios de fixação.</t>
  </si>
  <si>
    <r>
      <t>(U)</t>
    </r>
    <r>
      <rPr>
        <b/>
        <sz val="10"/>
        <color indexed="8"/>
        <rFont val="Arial"/>
        <family val="2"/>
      </rPr>
      <t>95547U</t>
    </r>
  </si>
  <si>
    <t>SABONETEIRA PLASTICA TIPO DISPENSER PARA SABONETE LIQUIDO COM RESERVATORIO 800 A 1500 ML, INCLUSO FIXAÇÃO. AF_10/2016</t>
  </si>
  <si>
    <t>(U)11758</t>
  </si>
  <si>
    <t>SABONETEIRA PLASTICA TIPO DISPENSER PARA SABONETE LIQUIDO COM RESERVATORIO 800 A 1500 ML</t>
  </si>
  <si>
    <r>
      <t>(U)</t>
    </r>
    <r>
      <rPr>
        <b/>
        <sz val="10"/>
        <color indexed="8"/>
        <rFont val="Arial"/>
        <family val="2"/>
      </rPr>
      <t>86872U</t>
    </r>
  </si>
  <si>
    <t>TANQUE DE LOUÇA BRANCA COM COLUNA, 30L OU EQUIVALENTE - FORNECIMENTO E INSTALAÇÃO. AF_12/2013</t>
  </si>
  <si>
    <t>(U)20271</t>
  </si>
  <si>
    <t>TANQUE LOUCA BRANCA COM COLUNA *30* L</t>
  </si>
  <si>
    <r>
      <t>(U)</t>
    </r>
    <r>
      <rPr>
        <b/>
        <sz val="10"/>
        <color indexed="8"/>
        <rFont val="Arial"/>
        <family val="2"/>
      </rPr>
      <t>86906U</t>
    </r>
  </si>
  <si>
    <t>(U)13415</t>
  </si>
  <si>
    <t>TORNEIRA CROMADA DE MESA PARA LAVATORIO, PADRAO POPULAR, 1/2 " OU 3/4 " (REF 1193)</t>
  </si>
  <si>
    <r>
      <t>(U)</t>
    </r>
    <r>
      <rPr>
        <b/>
        <sz val="10"/>
        <color indexed="8"/>
        <rFont val="Arial"/>
        <family val="2"/>
      </rPr>
      <t>86912U</t>
    </r>
  </si>
  <si>
    <t>TORNEIRA CROMADA LONGA, DE PAREDE, 1/2" OU 3/4", PARA PIA DE COZINHA, PADRÃO MÉDIO - FORNECIMENTO E INSTALAÇÃO. AF_12/2013</t>
  </si>
  <si>
    <t>(U)13416</t>
  </si>
  <si>
    <t>TORNEIRA CROMADA DE PAREDE PARA COZINHA SEM AREJADOR, PADRAO POPULAR, 1/2 " OU 3/4 " (REF 1158)</t>
  </si>
  <si>
    <r>
      <t>(U)</t>
    </r>
    <r>
      <rPr>
        <b/>
        <sz val="10"/>
        <color indexed="8"/>
        <rFont val="Arial"/>
        <family val="2"/>
      </rPr>
      <t>74125/2U</t>
    </r>
  </si>
  <si>
    <t>ESPELHO CRISTAL ESPESSURA 4MM, COM MOLDURA EM ALUMINIO E COMPENSADO 6MM PLASTIFICADO COLADO</t>
  </si>
  <si>
    <t>(U)11186</t>
  </si>
  <si>
    <t>ESPELHO CRISTAL E = 4 MM</t>
  </si>
  <si>
    <t>(U)1344</t>
  </si>
  <si>
    <t>CHAPA DE MADEIRA COMPENSADA PLASTIFICADA PARA FORMA DE CONCRETO, DE 2,20 x 1,10 M, E = 6 MM</t>
  </si>
  <si>
    <t>(U)587</t>
  </si>
  <si>
    <t>CANTONEIRA ALUMINIO ABAS DESIGUAIS 1" X 3/4 ", E = 1/8 "</t>
  </si>
  <si>
    <t>(U)7334</t>
  </si>
  <si>
    <t>ADITIVO ADESIVO LIQUIDO PARA ARGAMASSAS DE REVESTIMENTOS CIMENTICIOS</t>
  </si>
  <si>
    <t>(U)88325U</t>
  </si>
  <si>
    <t>VIDRACEIRO COM ENCARGOS COMPLEMENTARES</t>
  </si>
  <si>
    <r>
      <t>(U)</t>
    </r>
    <r>
      <rPr>
        <b/>
        <sz val="10"/>
        <color indexed="8"/>
        <rFont val="Arial"/>
        <family val="2"/>
      </rPr>
      <t>9537U</t>
    </r>
  </si>
  <si>
    <r>
      <t>(U)</t>
    </r>
    <r>
      <rPr>
        <b/>
        <sz val="10"/>
        <color indexed="8"/>
        <rFont val="Arial"/>
        <family val="2"/>
      </rPr>
      <t>32.004.0001.SER.CBR</t>
    </r>
  </si>
  <si>
    <t>(U)88597U</t>
  </si>
  <si>
    <t>DESENHISTA DETALHISTA COM ENCARGOS COMPLEMENTARES</t>
  </si>
  <si>
    <t>Volare 20 - PINI</t>
  </si>
  <si>
    <t>12.001.0001.S.CBR.RJ</t>
  </si>
  <si>
    <t>SINAPI 88489</t>
  </si>
  <si>
    <t>SINAPI 84191</t>
  </si>
  <si>
    <t>SINAPI 89396</t>
  </si>
  <si>
    <t>13.002.0001.S.CBR.RJ</t>
  </si>
  <si>
    <t>Barra de apoio em aço escovado 80cm</t>
  </si>
  <si>
    <t>98.020.ESP.TCPO.SIN</t>
  </si>
  <si>
    <t xml:space="preserve">Veneziana para descarga de ar com lâminas fixas, 15 x 15 cm </t>
  </si>
  <si>
    <r>
      <t>(U)</t>
    </r>
    <r>
      <rPr>
        <b/>
        <sz val="10"/>
        <color indexed="8"/>
        <rFont val="Arial"/>
        <family val="2"/>
      </rPr>
      <t xml:space="preserve">98.020.ESP.TCPO.SIN </t>
    </r>
  </si>
  <si>
    <t>(U)17.001.000249.MAT</t>
  </si>
  <si>
    <t xml:space="preserve">AJUDANTE ESPECIALIZADO COM ENCARGOS COMPLEMENTARES </t>
  </si>
  <si>
    <t xml:space="preserve">MONTADOR DE ESTRUTURA METÁLICA COM ENCARGOS COMPLEMENTARES </t>
  </si>
  <si>
    <t xml:space="preserve">Fornecimento e instalação de porta de compensado revestida com laminado melamínico na cor branco, com dobradiça com mola para fixação em divisórias de granito, com targeta livre/ocupado, colocada em divisória de granito (dimensões 0,80 x 1,80m) </t>
  </si>
  <si>
    <t>(U)11519</t>
  </si>
  <si>
    <t>MACANETA ALAVANCA, RETA OU CURVA, MACICA, CROMADA, COMPRIMENTO DE 10 A 16 CM, ACABAMENTO PADRAO MEDIO - SOMENTE MACANETAS</t>
  </si>
  <si>
    <t>(U)74046/2U</t>
  </si>
  <si>
    <t>TARJETA TIPO LIVRE/OCUPADO PARA PORTA DE BANHEIRO</t>
  </si>
  <si>
    <t>(U)90822U</t>
  </si>
  <si>
    <t>PORTA DE MADEIRA PARA PINTURA, SEMI-OCA (LEVE OU MÉDIA), 80X210CM, ESPESSURA DE 3,5CM, INCLUSO DOBRADIÇAS - FORNECIMENTO E INSTALAÇÃO. AF_08/2015</t>
  </si>
  <si>
    <t>60 DIAS</t>
  </si>
  <si>
    <t>Valores Referenciais adotado pela UNB**</t>
  </si>
  <si>
    <t>* O cálculo do BDI segue a metodologia estabelecida na Resolução do Decanato de Administração Nº0013/2016</t>
  </si>
  <si>
    <t>*** Os valores de D1, D2 e D3 considerados na fórmula foram obtidos a partir da Resolução do Decanato de Administração Nº0013/2016</t>
  </si>
  <si>
    <t>COFINS (D3)***</t>
  </si>
  <si>
    <t>PIS (D2)***</t>
  </si>
  <si>
    <t>ISS (D1)***</t>
  </si>
  <si>
    <t>CPRB (T)****</t>
  </si>
  <si>
    <t xml:space="preserve">INCIDÊNCIA </t>
  </si>
  <si>
    <t>PLANILHA ORÇAMENTÁRIA ANALÍTICA</t>
  </si>
  <si>
    <t>COMPOSIÇÕES UNITÁRIAS</t>
  </si>
  <si>
    <t>06.006.0001.S.CBR.RJ</t>
  </si>
  <si>
    <t xml:space="preserve">Fornecimento e montagem de divisória em granito </t>
  </si>
  <si>
    <t>(U)25976</t>
  </si>
  <si>
    <t xml:space="preserve">DIVISORIA EM GRANITO, COM DUAS FACES POLIDAS, TIPO ANDORINHA/ QUARTZ/ CASTELO/ CORUMBA OU OUTROS EQUIVALENTES DA REGIAO, E= *3,0* CM </t>
  </si>
  <si>
    <t>Composição baseada em SINAPI 79627</t>
  </si>
  <si>
    <r>
      <rPr>
        <sz val="10"/>
        <color indexed="8"/>
        <rFont val="Arial"/>
        <family val="2"/>
      </rPr>
      <t>(U)</t>
    </r>
    <r>
      <rPr>
        <b/>
        <sz val="10"/>
        <color indexed="8"/>
        <rFont val="Arial"/>
        <family val="2"/>
      </rPr>
      <t>72132U</t>
    </r>
  </si>
  <si>
    <r>
      <rPr>
        <sz val="10"/>
        <color indexed="8"/>
        <rFont val="Arial"/>
        <family val="2"/>
      </rPr>
      <t>(U)</t>
    </r>
    <r>
      <rPr>
        <b/>
        <sz val="10"/>
        <color indexed="8"/>
        <rFont val="Arial"/>
        <family val="2"/>
      </rPr>
      <t>06.006.0001.S.CBR.RJ</t>
    </r>
  </si>
  <si>
    <t>ORÇAMENTO RESUMIDO</t>
  </si>
  <si>
    <t>LS(%): 49,52</t>
  </si>
  <si>
    <t>MAPA DE COTAÇÃO</t>
  </si>
  <si>
    <t>Cerrado entulho</t>
  </si>
  <si>
    <t>Help Entulho</t>
  </si>
  <si>
    <t>Nova Exaustores</t>
  </si>
  <si>
    <t>Solucenter</t>
  </si>
  <si>
    <t>Americanas</t>
  </si>
  <si>
    <t>Submarino</t>
  </si>
  <si>
    <t>Drogarias Pacheco</t>
  </si>
  <si>
    <t>Shoptime</t>
  </si>
  <si>
    <t>Leroy Merlin</t>
  </si>
  <si>
    <t>Magazine Luiza</t>
  </si>
  <si>
    <t>Weg</t>
  </si>
  <si>
    <t>Web Continental</t>
  </si>
  <si>
    <t>Wallmart</t>
  </si>
  <si>
    <t>Loja elétrica</t>
  </si>
  <si>
    <t>Luxtil</t>
  </si>
  <si>
    <t>Elbran</t>
  </si>
  <si>
    <t>Mundo max</t>
  </si>
  <si>
    <t>Premier Excluisve</t>
  </si>
  <si>
    <t>C&amp;C</t>
  </si>
  <si>
    <t>Shopfácil</t>
  </si>
  <si>
    <t>LabLuz</t>
  </si>
  <si>
    <t>Irmãos Abage</t>
  </si>
  <si>
    <t>(U)40819</t>
  </si>
  <si>
    <t>MESTRE DE OBRAS (MENSALISTA)</t>
  </si>
  <si>
    <t>(U)40863</t>
  </si>
  <si>
    <t>EXAMES - MENSALISTA (ENCARGOS COMPLEMENTARES) (COLETADO CAIXA)</t>
  </si>
  <si>
    <t>SEGURO - MENSALISTA (ENCARGOS COMPLEMENTARES) (COLETADO CAIXA)</t>
  </si>
  <si>
    <t>(U)40864</t>
  </si>
  <si>
    <t>(U)93557U</t>
  </si>
  <si>
    <t>(U)95423U</t>
  </si>
  <si>
    <t>EPI (ENCARGOS COMPLEMENTARES) - MENSALISTA</t>
  </si>
  <si>
    <t>CURSO DE CAPACITAÇÃO PARA MESTRE DE OBRAS (ENCARGOS COMPLEMENTARES) - MENSALISTA</t>
  </si>
  <si>
    <t>mês</t>
  </si>
  <si>
    <t>SINAPI 94295</t>
  </si>
  <si>
    <t>Padovani</t>
  </si>
  <si>
    <t>Madeira Madeira</t>
  </si>
  <si>
    <t>Acquafort</t>
  </si>
  <si>
    <t>Telhanorte</t>
  </si>
  <si>
    <t>MÉDIA</t>
  </si>
  <si>
    <t>COTAÇÕES</t>
  </si>
  <si>
    <t>EMPRESA 1</t>
  </si>
  <si>
    <t>PREÇO 1</t>
  </si>
  <si>
    <t>EMPRESA 2</t>
  </si>
  <si>
    <t>PREÇO 2</t>
  </si>
  <si>
    <t>EMPRESA 3</t>
  </si>
  <si>
    <t>PREÇO 3</t>
  </si>
  <si>
    <r>
      <t>(U)</t>
    </r>
    <r>
      <rPr>
        <b/>
        <sz val="10"/>
        <color indexed="8"/>
        <rFont val="Arial"/>
        <family val="2"/>
      </rPr>
      <t>02.002.0003.S.CBR.RJ</t>
    </r>
  </si>
  <si>
    <t xml:space="preserve">Elaboração de Plano de Gestão de Resíduos </t>
  </si>
  <si>
    <t>(U)02.001.0001.M.CBR.RJ</t>
  </si>
  <si>
    <t>Coeficientes adotados atraves SCO RJ TC 04.15.0100</t>
  </si>
  <si>
    <t>ART - Anotação de Responsabilidade Técnica</t>
  </si>
  <si>
    <t>(U) 90778U</t>
  </si>
  <si>
    <t xml:space="preserve">ENGENHEIRO CIVIL DE OBRA PLENO COM ENCARGOS COMPLEMENTARES </t>
  </si>
  <si>
    <t>02.002.0003.S.CBR.RJ</t>
  </si>
  <si>
    <t>CRES DF</t>
  </si>
  <si>
    <t>Referência</t>
  </si>
  <si>
    <t>Unidade</t>
  </si>
  <si>
    <t>Preço Total</t>
  </si>
  <si>
    <t>Código</t>
  </si>
  <si>
    <t>Custo Unitário</t>
  </si>
  <si>
    <t>Custo Total</t>
  </si>
  <si>
    <t>CUSTO TOTAL DOS SERVIÇOS</t>
  </si>
  <si>
    <t>PREÇO TOTAL DOS SERVIÇOS (CUSTO TOTAL + BDI)</t>
  </si>
  <si>
    <t>Fornecimento e instalação de te 50mm</t>
  </si>
  <si>
    <t>Fornecimento e instalação de caixa sifonada 150x150x50</t>
  </si>
  <si>
    <t>Fornecimento e instalação de Te de inspeção 100mm</t>
  </si>
  <si>
    <t>Fornecimento e instalação  Adaptador sold. Curto com bolsa e rosca para registro 2 1/2"</t>
  </si>
  <si>
    <t>Fornecimento e instalação Bucha de redução sold. Curta 75 x 60mm</t>
  </si>
  <si>
    <t>Fornecimento e instalação Bucha de redução sold. Longa 75 x 50mm</t>
  </si>
  <si>
    <t>Fornecimento e instalação Te 90° soldavél  75mm</t>
  </si>
  <si>
    <t>Fornecimento e instalação Te 90° soldavél  32mm</t>
  </si>
  <si>
    <t>SINAPI 94697</t>
  </si>
  <si>
    <t>SINAPI 89559</t>
  </si>
  <si>
    <t>ADAPTADOR CURTO COM BOLSA E ROSCA PARA REGISTRO, PVC, SOLDÁVEL, DN 75 MM X 2 1/2 , INSTALADO EM RESERVAÇÃO DE ÁGUA DE EDIFICAÇÃO QUE POSSUA RESERVATÓRIO DE FIBRA/FIBROCIMENTO   FORNECIMENTO E INSTALAÇÃO. AF_06/2016 (UN)</t>
  </si>
  <si>
    <t>ADAPTADOR PVC SOLDAVEL CURTO COM BOLSA E ROSCA, 75 MM X 2 1/2", PARA AGUA FRIA</t>
  </si>
  <si>
    <t>MAT</t>
  </si>
  <si>
    <t>88248(U)</t>
  </si>
  <si>
    <t>88267(U)</t>
  </si>
  <si>
    <t>ADESIVO PLASTICO PARA PVC, FRASCO COM 175 GR</t>
  </si>
  <si>
    <r>
      <t>(U)</t>
    </r>
    <r>
      <rPr>
        <b/>
        <sz val="10"/>
        <color indexed="8"/>
        <rFont val="Arial"/>
        <family val="2"/>
      </rPr>
      <t>94666U</t>
    </r>
  </si>
  <si>
    <t>Bucha de redução soldável PVC longa Ø 75 mm x 50 mm (UN)</t>
  </si>
  <si>
    <t>Bucha de redução soldável PVC curta Ø 75 mm x 60 mm (UN)</t>
  </si>
  <si>
    <r>
      <t>(U)</t>
    </r>
    <r>
      <rPr>
        <b/>
        <sz val="10"/>
        <color indexed="8"/>
        <rFont val="Arial"/>
        <family val="2"/>
      </rPr>
      <t>94697U</t>
    </r>
  </si>
  <si>
    <t>TÊ, PVC, SOLDÁVEL, DN 75 MM INSTALADO EM RESERVAÇÃO DE ÁGUA DE EDIFICAÇÃO QUE POSSUA RESERVATÓRIO DE FIBRA/FIBROCIMENTO   FORNECIMENTO E INSTALAÇÃO. AF_06/2016 (UN)</t>
  </si>
  <si>
    <t>88248U</t>
  </si>
  <si>
    <t>88267U</t>
  </si>
  <si>
    <t>TE SOLDAVEL, PVC, 90 GRAUS, 75 MM, PARA AGUA FRIA PREDIAL (NBR 5648)</t>
  </si>
  <si>
    <t>TE SOLDAVEL, PVC, 90 GRAUS, 32 MM, PARA AGUA FRIA PREDIAL (NBR 5648)</t>
  </si>
  <si>
    <t>SINAPI 94690</t>
  </si>
  <si>
    <t>JOELHO 90 GRAUS, PVC, SERIE NORMAL, ESGOTO PREDIAL, DN 40 MM, JUNTA SOLDÁVEL, FORNECIDO E INSTALADO EM RAMAL DE DESCARGA OU RAMAL DE ESGOTO SANITÁRIO. AF_12/2014 (UN)</t>
  </si>
  <si>
    <t>SER. CG.</t>
  </si>
  <si>
    <t>TUBO, PVC, SOLDÁVEL, DN 60MM, INSTALADO EM PRUMADA DE ÁGUA - FORNECIMENTO E INSTALAÇÃO. AF_12/2014 (M)</t>
  </si>
  <si>
    <t>TUBO, PVC, SOLDÁVEL, DN 50MM, INSTALADO EM PRUMADA DE ÁGUA - FORNECIMENTO E INSTALAÇÃO. AF_12/2014 (M)</t>
  </si>
  <si>
    <r>
      <t>(U)</t>
    </r>
    <r>
      <rPr>
        <b/>
        <sz val="10"/>
        <color indexed="8"/>
        <rFont val="Arial"/>
        <family val="2"/>
      </rPr>
      <t>89559U</t>
    </r>
  </si>
  <si>
    <t>TÊ DE INSPEÇÃO, PVC, SERIE R, ÁGUA PLUVIAL, DN 100 MM, JUNTA ELÁSTICA, FORNECIDO E INSTALADO EM RAMAL DE ENCAMINHAMENTO. AF_12/2014 (UN)</t>
  </si>
  <si>
    <t>TE DE INSPECAO, PVC, SERIE R, 100 X 75 MM, PARA ESGOTO PREDIAL</t>
  </si>
  <si>
    <t>Veneziana indevassável para instalação em porta, fabricação em alumínio anodizado, aletas horizontais fixas em "V", com contra-moldura. Dimensões: 300x150 mm. Referência: Modelo VSH-2M da Tropical, ou equivalente</t>
  </si>
  <si>
    <t>12.002.0001.M.CBR.RJ</t>
  </si>
  <si>
    <t>14.003.0002.S.CBR.RJ</t>
  </si>
  <si>
    <t>14.003.0001.S.CBR.RJ</t>
  </si>
  <si>
    <r>
      <t>(U)</t>
    </r>
    <r>
      <rPr>
        <b/>
        <sz val="10"/>
        <color indexed="8"/>
        <rFont val="Arial"/>
        <family val="2"/>
      </rPr>
      <t>94690U</t>
    </r>
  </si>
  <si>
    <t>TÊ, PVC, SOLDÁVEL, DN 32 MM INSTALADO EM RESERVAÇÃO DE ÁGUA DE EDIFICAÇÃO QUE POSSUA RESERVATÓRIO DE FIBRA/FIBROCIMENTO   FORNECIMENTO E INSTALAÇÃO. AF_06/2016 (UN)</t>
  </si>
  <si>
    <t>Material + Mão de Obra</t>
  </si>
  <si>
    <t>Base preços - SINAPI: Janeiro/2018 - Desonerado; PINI: Dezembro/2017 - Desonerado</t>
  </si>
  <si>
    <t>AUXILIAR DE ENCANADOR OU BOMBEIRO HIDRAULICO</t>
  </si>
  <si>
    <r>
      <t>(U)</t>
    </r>
    <r>
      <rPr>
        <b/>
        <sz val="10"/>
        <rFont val="Arial"/>
        <family val="2"/>
      </rPr>
      <t>94295U</t>
    </r>
  </si>
  <si>
    <t>BUCHA DE REDUCAO DE PVC, SOLDAVEL, CURTA, COM 75 X 60 MM, PARA AGUA FRIA PREDIAL</t>
  </si>
  <si>
    <t>(U)823</t>
  </si>
  <si>
    <t>BUCHA DE REDUCAO DE PVC, SOLDAVEL, LONGA, COM 75 X 50 MM, PARA AGUA FRIA PREDIAL</t>
  </si>
  <si>
    <t>(U)821</t>
  </si>
  <si>
    <t>Composição baseada em TCPO 02.102.000032.SER. Itens / preços do SINAPI</t>
  </si>
  <si>
    <t>coeficientes estimados TCPO 19.104.000502.SER para a instalação da barra. Itens / preços do SINAPI</t>
  </si>
  <si>
    <t>Composição baseada em TCPO 26.104.000060.SER. Itens / preços do SINAPI</t>
  </si>
  <si>
    <t>Composição baseada em TCPO 20.101.000010.SER. Itens / preços do SINAPI</t>
  </si>
  <si>
    <t>Composição baseada em TCPO 20.104.000010.SER. Itens / preços do SINAPI</t>
  </si>
  <si>
    <t>Composição baseada em TCPO 22.150.000130.SER. Itens / preços do SINAPI</t>
  </si>
  <si>
    <t>Composição baseada em TCPO 24.103.000095.SER. Itens / preços do SINAPI</t>
  </si>
  <si>
    <t>Composição baseada em TCPO 24.103.000080.SER. Itens / preços do SINAPI</t>
  </si>
  <si>
    <t>Composição baseada em TCPO 22.136.000155 e SINAPI 84167. Itens / preços do SINAPI</t>
  </si>
  <si>
    <t>Composição baseada em TCPO 22.136.000060.SER. Itens / preços do SINAPI</t>
  </si>
  <si>
    <t>Composição baseada em TCPO 10.104.000095.SER. Itens / preços do SINAPI</t>
  </si>
  <si>
    <t>Serviço baseado através do item SCO RJ AP 10.10.0053. Itens / preços do SINAPI</t>
  </si>
  <si>
    <t>Composição baseada em TCPO 16.121.000051.SER. Itens / preços do SINAPI</t>
  </si>
  <si>
    <t>Composição baseada em TCPO 19.104.000500.SER - Insumo: 17.001.000249.MAT referência TCPO dez/2017. Demais Itens / preços do SINAPI</t>
  </si>
  <si>
    <t>Composição baseada em TCPO 13.102.001003.SER. Itens / preços do SINAPI</t>
  </si>
  <si>
    <t>Composição baseada em TCPO 13.102.000184.SER. Itens / preços do SINAPI</t>
  </si>
  <si>
    <t>Composição baseada em 13.102.000185.SER-TCPO. Itens / preços do SINAPI</t>
  </si>
  <si>
    <t>Composição baseada em 13.102.000210.SER-TCPO. Itens / preços do SINAPI</t>
  </si>
  <si>
    <t>Composição baseada em TCPO 13.102.001076.SER. Itens / preços do SINAPI</t>
  </si>
  <si>
    <t>Composição baseada em TCPO 13.102.001075.SER. Itens / preços do SINAPI</t>
  </si>
  <si>
    <t>Composição baseada em TCPO 13.102.001137.SER. Itens / preços do SINAPI</t>
  </si>
  <si>
    <t>Composição baseada em TCPO 13.102.001122.SER. Itens / preços do SINAPI</t>
  </si>
  <si>
    <t>CAMINHÃO BASCULANTE 6 M3, PESO BRUTO TOTAL 16.000 KG, CARGA ÚTIL MÁXIMA 13.071 KG, DISTÂNCIA ENTRE EIXOS 4,80 M, POTÊNCIA 230 CV INCLUSIVE CAÇAMBA METÁLICA - CHI DIURNO. AF_06/2014</t>
  </si>
  <si>
    <t>(U)5961U</t>
  </si>
  <si>
    <t>SINAPI 588264</t>
  </si>
  <si>
    <t>SINAPI 5961</t>
  </si>
  <si>
    <t>SINAPI 88316</t>
  </si>
  <si>
    <t>SINAPI 90844</t>
  </si>
  <si>
    <t>SINAPI 90843</t>
  </si>
  <si>
    <t>SINAPI 90822</t>
  </si>
  <si>
    <t>(U)26.004.0002.M.CBR.RJ</t>
  </si>
  <si>
    <t>SINAPI 36205</t>
  </si>
  <si>
    <t>26.004.0002.M.CBR.RJ</t>
  </si>
  <si>
    <t>SINAPI 87314</t>
  </si>
  <si>
    <t>SINAPI 87408</t>
  </si>
  <si>
    <t>MASSA ACRILICA PARA PAREDES INTERIOR/EXTERIOR</t>
  </si>
  <si>
    <t>(U)4056</t>
  </si>
  <si>
    <t>SINAPI 4056</t>
  </si>
  <si>
    <t>SINAPI 4048</t>
  </si>
  <si>
    <t>SINAPI 74209/1U</t>
  </si>
  <si>
    <t>Fornecimento e Instalação de Placa de Obra</t>
  </si>
  <si>
    <t>74209/1U</t>
  </si>
  <si>
    <t>PLACA DE OBRA EM CHAPA DE ACO GALVANIZADO</t>
  </si>
  <si>
    <t>88262U</t>
  </si>
  <si>
    <t>88316U</t>
  </si>
  <si>
    <t>94962U</t>
  </si>
  <si>
    <t>SARRAFO DE MADEIRA NAO APARELHADA *2,5 X 7* CM, MACARANDUBA, ANGELIM OU EQUIVALENTE DA REGIAO</t>
  </si>
  <si>
    <t>PLACA DE OBRA (PARA CONSTRUCAO CIVIL) EM CHAPA GALVANIZADA *N. 22*, DE *2,0 X 1,125* M</t>
  </si>
  <si>
    <t>M²</t>
  </si>
  <si>
    <t>PREGO DE ACO POLIDO COM CABECA 18 X 30 (2 3/4 X 10)</t>
  </si>
  <si>
    <t>CONCRETO MAGRO PARA LASTRO, TRAÇO 1:4,5:4,5 (CIMENTO/ AREIA MÉDIA/ BRITA 1)  - PREPARO MECÂNICO COM BETONEIRA 400 L. AF_07/2016</t>
  </si>
  <si>
    <t>M³</t>
  </si>
  <si>
    <t>Fornecimento e instalação de joelho de 90° com bucha de latão 25mmX3/4"</t>
  </si>
  <si>
    <t>SINAPI  89366</t>
  </si>
  <si>
    <t>89366U</t>
  </si>
  <si>
    <t>JOELHO 90 GRAUS COM BUCHA DE LATÃO, PVC, SOLDÁVEL, DN 25MM, X 3/4? INSTALADO EM RAMAL OU SUB-RAMAL DE ÁGUA - FORNECIMENTO E INSTALAÇÃO. AF_12/2014 (UN)</t>
  </si>
  <si>
    <t>JOELHO PVC, SOLDAVEL, COM BUCHA DE LATAO, 90 GRAUS, 25 MM X 3/4", PARA AGUA FRIA PREDIAL</t>
  </si>
  <si>
    <t>SINAPI 86884</t>
  </si>
  <si>
    <t>SINAPI 94666</t>
  </si>
  <si>
    <t>Fornecimento e instalação de engate flexível em plástico branco 1/2" X 30cm</t>
  </si>
  <si>
    <t>86884U</t>
  </si>
  <si>
    <t>ENGATE FLEXÍVEL EM PLÁSTICO BRANCO, 1/2" X 30CM - FORNECIMENTO E INSTALAÇÃO. AF_12/2013 (UN)</t>
  </si>
  <si>
    <t>(U)88267</t>
  </si>
  <si>
    <t>(U)88316</t>
  </si>
  <si>
    <t>ENGATE/RABICHO FLEXIVEL PLASTICO (PVC OU ABS) BRANCO 1/2 " X 30 CM</t>
  </si>
  <si>
    <t>SINAPI 6140</t>
  </si>
  <si>
    <t>Fornecimento e instalação de Bolsa de ligação p/ vaso sanitário 1 1/2" (40mm)</t>
  </si>
  <si>
    <t>BOLSA DE LIGACAO EM PVC FLEXIVEL PARA VASO SANITARIO 1.1/2 " (40 MM)</t>
  </si>
  <si>
    <t>Utilizada como base o item SINAPI 89391 para adaptar ao solicitado.</t>
  </si>
  <si>
    <t>(U)88248</t>
  </si>
  <si>
    <t>SINAPI 74104/1U</t>
  </si>
  <si>
    <t>Caixa de Alvenaria  80x60x60cm com tampa de concreto</t>
  </si>
  <si>
    <t xml:space="preserve">un </t>
  </si>
  <si>
    <t>74104/1U</t>
  </si>
  <si>
    <t>CAIXA DE INSPEÇÃO EM ALVENARIA DE TIJOLO MACIÇO 60X60X60CM, REVESTIDA INTERNAMENTO COM BARRA LISA (CIMENTO E AREIA, TRAÇO 1:4) E=2,0CM, COM TAMPA PRÉ-MOLDADA DE CONCRETO E FUNDO DE CONCRETO 15MPA TIPO C - ESCAVAÇÃO E CONFECÇÃO (UN)</t>
  </si>
  <si>
    <t>(U)6087</t>
  </si>
  <si>
    <t>(U)87335</t>
  </si>
  <si>
    <t>(U)88309</t>
  </si>
  <si>
    <t>(U)88630</t>
  </si>
  <si>
    <t>(U)93358</t>
  </si>
  <si>
    <t>(U)94969</t>
  </si>
  <si>
    <t>TAMPA EM CONCRETO ARMADO 60X60X5CM P/CX INSPECAO/FOSSA SEPTICA</t>
  </si>
  <si>
    <t>ARGAMASSA TRAÇO 1:4 (CIMENTO E AREIA MÉDIA), PREPARO MECÂNICO COM BETONEIRA 400 L. AF_08/2014</t>
  </si>
  <si>
    <t>ESCAVAÇÃO MANUAL DE VALAS. AF_03/2016</t>
  </si>
  <si>
    <t>CONCRETO FCK = 15MPA, TRAÇO 1:3,4:3,5 (CIMENTO/ AREIA MÉDIA/ BRITA 1)  - PREPARO MECÂNICO COM BETONEIRA 600 L. AF_07/2016</t>
  </si>
  <si>
    <t>kg</t>
  </si>
  <si>
    <t>Utilizada como base o item SINAPI 74104/1U. COEFICIENTES ADPTADOS PARA A MEDIDA DA CAIXA.</t>
  </si>
  <si>
    <t>OBS: BASE DE DADOS SINAPI/PINI/SCO RJ JAN/2018</t>
  </si>
  <si>
    <t>Mobilização e desmobilização de equipamentos, ferramentas, utensílios, móveis e pessoal para o canteiro de obras, conforme descrição do termo de referência - Distância estimada de 80km</t>
  </si>
  <si>
    <t>SINAPI 88309</t>
  </si>
  <si>
    <t>Pedreiro</t>
  </si>
  <si>
    <t>Servente/Ajudante</t>
  </si>
  <si>
    <t>SINAPI 88264</t>
  </si>
  <si>
    <t>Eletricista</t>
  </si>
  <si>
    <t>SINAPI 88247</t>
  </si>
  <si>
    <t>Auxiliar de Eletricista</t>
  </si>
  <si>
    <t>SINAPI 88267</t>
  </si>
  <si>
    <t>Encanador</t>
  </si>
  <si>
    <t>Auxiliar de Encanador</t>
  </si>
  <si>
    <t>SINAPI 5824</t>
  </si>
  <si>
    <t>CAMINHÃO TOCO, PBT 16.000 KG, CARGA ÚTIL MÁX. 10.685 KG, DIST. ENTRE EIXOS 4,8 M, POTÊNCIA 189 CV, INCLUSIVE CARROCERIA FIXA ABERTA DE MADEIRA P/ TRANSPORTE GERAL DE CARGA SECA, DIMEN. APROX. 2,5 X 7,00 X 0,50M</t>
  </si>
  <si>
    <t>SINAPI 92145</t>
  </si>
  <si>
    <t>CAMINHONETE CABINE SIMPLES COM MOTOR 1.6 FLEX, CÂMBIO MANUAL, POTÊNCIA CHP CR 90,63
101/104 CV, 2 PORTAS</t>
  </si>
  <si>
    <t>LS(%): 86,17</t>
  </si>
  <si>
    <t>80km</t>
  </si>
  <si>
    <t xml:space="preserve">Estimativa de horas de MO para com integração, carregar/descarregar os veículos, </t>
  </si>
  <si>
    <t>organizar equipamentos, ferramentas e utensílios na obra</t>
  </si>
  <si>
    <t>ESTIMADO 4 VIAGENS, TEMPO ESTIMADO DE 1 HORA CADA (VELOCIDADE MÉDIA DE 80KM/H). UTILIZAÇÃO: TRANSPORTE DE MATERIAIS E EQUIPAMENTOS</t>
  </si>
  <si>
    <t>TEMPO ESTIMADO PARA TRANSPORTE DE PESSOAL E ALGUNS MATERIAIS PEQUENOS</t>
  </si>
  <si>
    <t>BUCHA DE NYLON, DIAMETRO DO FURO 8 MM, COMPRIMENTO 40 MM, COM PARAFUSO DE ROSCA SOBERBA, CABECA CHATA, FENDA SIMPLES, 4,8 X 50 MM</t>
  </si>
  <si>
    <t>BEBEDOURO</t>
  </si>
  <si>
    <t>americanas</t>
  </si>
  <si>
    <t>magazine luiza</t>
  </si>
  <si>
    <t>shop facil</t>
  </si>
  <si>
    <t xml:space="preserve">BEBEDOURO </t>
  </si>
  <si>
    <t>MERCADO</t>
  </si>
  <si>
    <t>Fornecimento e instalação de válvula de escoamento cromada para lavatório. Ref.: 1602 C, Deca ou equivalente</t>
  </si>
  <si>
    <t>válvula de escoamento cromada para lavatório. Ref.: 1602 C</t>
  </si>
  <si>
    <t>Fornecimento e instalação de válvula de escoamento cromada para lavatório</t>
  </si>
  <si>
    <t>88242U</t>
  </si>
  <si>
    <t>VÁLVULA DE ESCOAMENTO</t>
  </si>
  <si>
    <t>AKABAMENTOS</t>
  </si>
  <si>
    <t>PADOVANI</t>
  </si>
  <si>
    <t>AMERICANAS</t>
  </si>
  <si>
    <t>Fornecimento e instalação Bucha de redução sold. Curta 85- 75mm</t>
  </si>
  <si>
    <t>Fornecimento e instalação Bucha de redução sold. Longa 60- 32mm</t>
  </si>
  <si>
    <t>Fornecimento e instalação Te de redução PBA  110- 85mm</t>
  </si>
  <si>
    <t>Fornecimento e instalação Te de redução PBA  110- 60mm</t>
  </si>
  <si>
    <t>Fornecimento e instalação Luva de correr PBA  110mm</t>
  </si>
  <si>
    <t>Fornecimento e instalação Bucha de redução sold. Curta 60 x 50mm</t>
  </si>
  <si>
    <t>13.009.0001.S.CBR.RJ</t>
  </si>
  <si>
    <t>CAIBRO DE MADEIRA NAO APARELHADA *5 X 6* CM, MACARANDUBA, ANGELIM OU EQUIVALENTE DA REGIAO</t>
  </si>
  <si>
    <t>RODAPE DE MADEIRA MACICA CUMARU/IPE CHAMPANHE OU EQUIVALENTE DA REGIAO, *1,5 X 7 CM</t>
  </si>
  <si>
    <t>ajudante encanador</t>
  </si>
  <si>
    <t>encanador</t>
  </si>
  <si>
    <t>solução limpadora para pvc</t>
  </si>
  <si>
    <t>Bucha PVC soldável de redução curta entrada Ø 85 mm saída Ø 75 mm</t>
  </si>
  <si>
    <t>Adesivo para PVC</t>
  </si>
  <si>
    <t>MO</t>
  </si>
  <si>
    <t>Composição baseada em TCPO 13.102.000186.SER. Itens / preços do SINAPI</t>
  </si>
  <si>
    <t>14.003.0003.S.CBR.RJ</t>
  </si>
  <si>
    <t>14.003.0004.S.CBR.RJ</t>
  </si>
  <si>
    <t>14.003.0005.S.CBR.RJ</t>
  </si>
  <si>
    <t>14.003.0006.S.CBR.RJ</t>
  </si>
  <si>
    <t>14.003.0007.S.CBR.RJ</t>
  </si>
  <si>
    <t>14.003.0008.S.CBR.RJ</t>
  </si>
  <si>
    <t>Composição baseada em 13.102.000207.SER. Itens / preços do SINAPI</t>
  </si>
  <si>
    <t>Bucha PVC soldável de redução longa Ø 60 mm x Ø 32 mm</t>
  </si>
  <si>
    <t>TE DE REDUCAO, PVC PBA, BBB, JE, DN 100 X 75 / DE 110 X 85 MM, PARA REDE AGUA (NBR 10351)</t>
  </si>
  <si>
    <t>TE DE REDUCAO, PVC PBA, BBB, JE, DN 100 X 50 / DE 110 X 60 MM, PARA REDE AGUA (NBR 10351)</t>
  </si>
  <si>
    <t>Anel de borracha para tubo PVC PBA Ø 110</t>
  </si>
  <si>
    <t>Composição baseada em 30.116.000455.SER  Itens / preços do SINAPI</t>
  </si>
  <si>
    <t>Composição baseada em XXXXXXXXXXX. Itens / preços do SINAPI</t>
  </si>
  <si>
    <t>Pasta lubrificante para tubo PVC 400G</t>
  </si>
  <si>
    <t>LUVA DE CORRER, PVC PBA, JE, DN 100 / DE 110 MM, PARA REDE AGUA (NBR 10351)</t>
  </si>
  <si>
    <t>SINAPI 88248</t>
  </si>
  <si>
    <t>02.001.0001.S.CBR.RJ</t>
  </si>
  <si>
    <t>PLACA DE IDENTIFICAÇÃO DE SETOR - DIMENSÃO: 700x750mm</t>
  </si>
  <si>
    <t>PLACA DE IDENTIFICAÇÃO DE SALA - DIMENSÃO 210x250mm</t>
  </si>
  <si>
    <t>PLACRIM</t>
  </si>
  <si>
    <t>PLANET SIGN</t>
  </si>
  <si>
    <t>SPRINT SIGN</t>
  </si>
  <si>
    <t>25.001.0001.M.CBR.RJ</t>
  </si>
  <si>
    <t>25.001.0002.M.CBR.RJ</t>
  </si>
  <si>
    <t>SERVIÇOS PRELIMINARES</t>
  </si>
  <si>
    <t>02.00.000</t>
  </si>
  <si>
    <t>02.01.400</t>
  </si>
  <si>
    <t>PROTEÇÃO E SINALIZAÇÃO</t>
  </si>
  <si>
    <t>02.01.401</t>
  </si>
  <si>
    <t>02.01.404</t>
  </si>
  <si>
    <t>vb</t>
  </si>
  <si>
    <t>02.02.000</t>
  </si>
  <si>
    <t>DEMOLIÇÃO</t>
  </si>
  <si>
    <t>10.00.000</t>
  </si>
  <si>
    <t>SERVIÇOS AUXILIARES E ADMINISTRATIVOS</t>
  </si>
  <si>
    <t>04.00.000</t>
  </si>
  <si>
    <t>ARQUITETURA E ELEMENTOS DE URBANISMO</t>
  </si>
  <si>
    <t>04.01.200</t>
  </si>
  <si>
    <t>ESQUADRIAS</t>
  </si>
  <si>
    <t>04.01.550</t>
  </si>
  <si>
    <t>REVESTIMENTOS DE FORRO</t>
  </si>
  <si>
    <t>04.01.530</t>
  </si>
  <si>
    <t>REVESTIMENTOS DE PAREDES</t>
  </si>
  <si>
    <t>04.01.560</t>
  </si>
  <si>
    <t>PINTURAS</t>
  </si>
  <si>
    <t>REVESTIMENTOS DE PISOS</t>
  </si>
  <si>
    <t>04.01.510</t>
  </si>
  <si>
    <t>04.01.700</t>
  </si>
  <si>
    <t>IMPERMEABILIZAÇÕES</t>
  </si>
  <si>
    <t>06.00.000</t>
  </si>
  <si>
    <t>INSTALAÇÕES ELÉTRICAS E ELETRÔNICAS</t>
  </si>
  <si>
    <t>07.04.000</t>
  </si>
  <si>
    <t>VENTILAÇÃO MECÂNICA</t>
  </si>
  <si>
    <t>05.00.000</t>
  </si>
  <si>
    <t>INSTALAÇÕES HIDRAÚLICAS E SANITÁRIAS</t>
  </si>
  <si>
    <t>04.02.000</t>
  </si>
  <si>
    <t>COMUNICAÇÃO VISUAL</t>
  </si>
  <si>
    <t>09.02.000</t>
  </si>
  <si>
    <t>09.04.000</t>
  </si>
  <si>
    <t>10.01.000</t>
  </si>
  <si>
    <t>PESSOAL</t>
  </si>
  <si>
    <t>10.01.100</t>
  </si>
  <si>
    <t>MÃO DE OBRA</t>
  </si>
  <si>
    <t>10.01.201</t>
  </si>
  <si>
    <t>10.01.111</t>
  </si>
  <si>
    <t>10.01.200</t>
  </si>
  <si>
    <t>ADMINISTRAÇÃO</t>
  </si>
  <si>
    <t>SERVIÇOS COMPLEMENTARES</t>
  </si>
  <si>
    <t>SINAPI 93567</t>
  </si>
  <si>
    <t>Totais (09.00.000)</t>
  </si>
  <si>
    <t>09.00.000</t>
  </si>
  <si>
    <t>Totais (10.00.000)</t>
  </si>
  <si>
    <t>07.04.200</t>
  </si>
  <si>
    <t>07.04.100</t>
  </si>
  <si>
    <t>VENTILADORES</t>
  </si>
  <si>
    <t>07.04.102</t>
  </si>
  <si>
    <t>07.04.203</t>
  </si>
  <si>
    <t>REDES DE DUTOS</t>
  </si>
  <si>
    <t>07.04.300</t>
  </si>
  <si>
    <t>EQUIPAMENTOS AUXILIARES</t>
  </si>
  <si>
    <t>07.04.301</t>
  </si>
  <si>
    <t>Totais (07.04.000)</t>
  </si>
  <si>
    <t>06.01.400</t>
  </si>
  <si>
    <t>ILUMINAÇÃO E TOMADAS</t>
  </si>
  <si>
    <t>06.01.401</t>
  </si>
  <si>
    <t>06.01.403</t>
  </si>
  <si>
    <t>06.01.404</t>
  </si>
  <si>
    <t>LUMINÁRIAS</t>
  </si>
  <si>
    <t>INTERRUPTORES</t>
  </si>
  <si>
    <t>REDES EM MÉDIA E BAIXA TENSÃO</t>
  </si>
  <si>
    <t>06.01.300</t>
  </si>
  <si>
    <t>06.01.301</t>
  </si>
  <si>
    <t>06.01.308</t>
  </si>
  <si>
    <t>DISJUNTORES</t>
  </si>
  <si>
    <t>06.01.304</t>
  </si>
  <si>
    <t>ELETRODUTOS</t>
  </si>
  <si>
    <t>Fornecimento e instalação de eletroduto PVC rígido rosqueável, Ø 3/4",  na cor cinza, classe B embutido no piso / parede ou aparente sobre o forro (Incluso: curva, luva, condulete e demais acessórios para fixação):</t>
  </si>
  <si>
    <t>Fornecimento e instalação de eletroduto PVC rígido rosqueável, Ø 1",  na cor cinza, classe B embutido no piso / parede ou aparente sobre o forro (Incluso: curva, luva, condulete e demais acessórios para fixação):</t>
  </si>
  <si>
    <t>06.01.306</t>
  </si>
  <si>
    <t>CAIXAS DE PASSAGENS</t>
  </si>
  <si>
    <t>Fornecimento e instalação de Conduletes em PVC, Ø 3/4", na cor cinza, com tampa</t>
  </si>
  <si>
    <t>Fornecimento e instalação de Conduletes em PVC, Ø 1", na cor cinza, com tampa</t>
  </si>
  <si>
    <t>06.01.410</t>
  </si>
  <si>
    <t>ACESSÓRIOS</t>
  </si>
  <si>
    <t>06.01.414</t>
  </si>
  <si>
    <t>ESPELHOS</t>
  </si>
  <si>
    <t>Fornecimento e instalação de Tampa para caixa de derivação 4"x2". Em PVC na cor cinza,  com 2 postos para interruptor simples e tomada 2P+T 20A.  Ref.: Tramontina, Pial Legrand ou equivalentes técnicos.</t>
  </si>
  <si>
    <t>Fornecimento e instalação de Tampa para caixa de derivação 4"x2". Em PVC na cor cinza,  com 1 posto para interruptor simples.  Ref.: Tramontina, Pial Legrand ou equivalentes técnicos.</t>
  </si>
  <si>
    <t>Fornecimento e instalação de Tampa para caixa de derivação 4"x2". Em PVC na cor cinza,  com 1 posto para tomada 2P+T 20A.  Ref.: Tramontina, Pial Legrand ou equivalentes técnicos.</t>
  </si>
  <si>
    <t xml:space="preserve"> Fornecimento e instalação de cabo flexível, # 2,5 mm² (Vermelho,Preto,Verde,Azul), isolamento em termoplástico 70º C, classe 750V, com características de não propagação e autoextinção de fogo, ref.: Afumex ou equivalente nas seções (Incluso terminais de compressão, anilhamento, chicoteamento)</t>
  </si>
  <si>
    <t xml:space="preserve"> Fornecimento e instalação de cabo flexível, # 6,0 mm² ( Preto, Verde, Azul ), isolamento em composto termofixo de borracha HEPR 90° C, com enchimento poliolefínico não halogenado, classe 0,6/1 kV, com características de não propagação e auto-extinção de fogo, ref.: Afumex ou Afitox</t>
  </si>
  <si>
    <t>06.01.305</t>
  </si>
  <si>
    <t>CABOS E FIOS(CONDUTORES)</t>
  </si>
  <si>
    <t>Totais (06.00.000)</t>
  </si>
  <si>
    <t>05.01.200</t>
  </si>
  <si>
    <t>TUBULAÇÕES E CONEXÕES DE PVC RÍGIDO</t>
  </si>
  <si>
    <t>TUBO</t>
  </si>
  <si>
    <t>05.01.201</t>
  </si>
  <si>
    <t>05.01.202</t>
  </si>
  <si>
    <t>ADAPTADOR</t>
  </si>
  <si>
    <t>05.01.000</t>
  </si>
  <si>
    <t>ÁGUA FRIA</t>
  </si>
  <si>
    <t>05.01.203</t>
  </si>
  <si>
    <t>BUCHA DE REDUÇÃO</t>
  </si>
  <si>
    <t>05.01.207</t>
  </si>
  <si>
    <t>JOELHO</t>
  </si>
  <si>
    <t>05.01.208</t>
  </si>
  <si>
    <t>LUVA</t>
  </si>
  <si>
    <t>05.01.209</t>
  </si>
  <si>
    <t>TÊ</t>
  </si>
  <si>
    <t>Fornecimento e instalação Joelho de 45° PVC Série Normal 40mm</t>
  </si>
  <si>
    <t>Fornecimento e instalação Joelho de 45° PVC Série Normal  50mm</t>
  </si>
  <si>
    <t>Fornecimento e instalação Joelho de 45° PVC Série Normal 100mm</t>
  </si>
  <si>
    <t>Fornecimento e instalação Joelho de 90° PVC Série Normal  40mm</t>
  </si>
  <si>
    <t>Fornecimento e instalação Joelho de 90° PVC Série Normal 50mm</t>
  </si>
  <si>
    <t>Fornecimento e instalação Joelho de 90° PVC Série Normal 75mm</t>
  </si>
  <si>
    <t xml:space="preserve">Fornecimento e instalação Joelho de 90° PVC Série Normal40mm com anel </t>
  </si>
  <si>
    <t xml:space="preserve">Fornecimento e instalação Joelho de 90° PVC Série Normal 100mm com anel </t>
  </si>
  <si>
    <t>05.04.000</t>
  </si>
  <si>
    <t>ESGOTOS SANITÁRIOS</t>
  </si>
  <si>
    <t>TUBULAÇÕES E CONEXÕES EM PVC</t>
  </si>
  <si>
    <t>05.04.300</t>
  </si>
  <si>
    <t>05.04.301</t>
  </si>
  <si>
    <t>05.04.305</t>
  </si>
  <si>
    <t>05.04.306</t>
  </si>
  <si>
    <t>JUNÇÃO</t>
  </si>
  <si>
    <t>05.04.308</t>
  </si>
  <si>
    <t>PLUGUE</t>
  </si>
  <si>
    <t>05.04.309</t>
  </si>
  <si>
    <t>REDUÇÃO</t>
  </si>
  <si>
    <t>05.04.310</t>
  </si>
  <si>
    <t>LIGAÇÃO PARA SAIDA DE VASO</t>
  </si>
  <si>
    <t>05.04.311</t>
  </si>
  <si>
    <t>VEDAÇÃO PARA SAIDA DE VASO</t>
  </si>
  <si>
    <t>05.01.500</t>
  </si>
  <si>
    <t>APARELHOS E ACESSÓRIOS SANITÁRIOS</t>
  </si>
  <si>
    <t>05.01.501</t>
  </si>
  <si>
    <t>LAVATÓRIO INDIVIDUAL</t>
  </si>
  <si>
    <t>05.01.503</t>
  </si>
  <si>
    <t>BACIA SIFONADA</t>
  </si>
  <si>
    <t>05.01.506</t>
  </si>
  <si>
    <t>05.01.508</t>
  </si>
  <si>
    <t>MICTÓRIO INDIVIDUAL</t>
  </si>
  <si>
    <t>05.01.511</t>
  </si>
  <si>
    <t>TANQUE</t>
  </si>
  <si>
    <t>05.01.512</t>
  </si>
  <si>
    <t>TORNEIRA</t>
  </si>
  <si>
    <t>05.01.516</t>
  </si>
  <si>
    <t>REGISTRO DE GAVETA</t>
  </si>
  <si>
    <t>05.01.519</t>
  </si>
  <si>
    <t>VALVULA DE DESCARGA</t>
  </si>
  <si>
    <t>05.01.517</t>
  </si>
  <si>
    <t>LIGAÇÃO FLEXÍVEL</t>
  </si>
  <si>
    <t>05.01.524</t>
  </si>
  <si>
    <t>VÁLVULA PARA APARELHOS SANITÁRIOS</t>
  </si>
  <si>
    <t>02.02.110</t>
  </si>
  <si>
    <t>FUNDAÇÕES E ESTRUTURAS DE CONCRETO</t>
  </si>
  <si>
    <t>02.02.112</t>
  </si>
  <si>
    <t>CONCRETO ARMADO</t>
  </si>
  <si>
    <t>02.02.180</t>
  </si>
  <si>
    <t>PAVIMENTAÇÕES</t>
  </si>
  <si>
    <t>02.02.150</t>
  </si>
  <si>
    <t>02.02.170</t>
  </si>
  <si>
    <t>ARQUITETURA</t>
  </si>
  <si>
    <t>04.01.100</t>
  </si>
  <si>
    <t>04.01.000</t>
  </si>
  <si>
    <t>PAREDES</t>
  </si>
  <si>
    <t>04.01.102</t>
  </si>
  <si>
    <t>04.01.230</t>
  </si>
  <si>
    <t>PORTA DE MADEIRA COMPENSADA</t>
  </si>
  <si>
    <t>04.01.120</t>
  </si>
  <si>
    <t>04.01.515</t>
  </si>
  <si>
    <t>04.01.516</t>
  </si>
  <si>
    <t>04.01.531</t>
  </si>
  <si>
    <t>04.01.532</t>
  </si>
  <si>
    <t>04.01.533</t>
  </si>
  <si>
    <t>04.01.534</t>
  </si>
  <si>
    <t>04.01.554</t>
  </si>
  <si>
    <t>GESSO AUTOPORTANTE ACARTONADO</t>
  </si>
  <si>
    <t>MASSA CORRIDA</t>
  </si>
  <si>
    <t>04.01.561</t>
  </si>
  <si>
    <t>04.01.569</t>
  </si>
  <si>
    <t>04.01.566</t>
  </si>
  <si>
    <t>04.01.701</t>
  </si>
  <si>
    <t>RODAPÉS</t>
  </si>
  <si>
    <t>04.01.702</t>
  </si>
  <si>
    <t>SOLEIRAS</t>
  </si>
  <si>
    <t>04.01.600</t>
  </si>
  <si>
    <t>04.01.605</t>
  </si>
  <si>
    <t>04.02.102</t>
  </si>
  <si>
    <t>PLACAS E QUADROS</t>
  </si>
  <si>
    <t>ACABAMENTOS E ARREMATES</t>
  </si>
  <si>
    <t>04.01.528</t>
  </si>
  <si>
    <t>Totais (02.00.000)</t>
  </si>
  <si>
    <t>TOTAL (04.00.000)</t>
  </si>
  <si>
    <t>REVESTIMENTOS  E FORROS</t>
  </si>
  <si>
    <t>02.02.330</t>
  </si>
  <si>
    <t>CARGA, TRANSPORTE, DESCARGA E ESPALHAMENTO DE MATERIAIS PROVENIENTE DE DEMOLIÇÃO</t>
  </si>
  <si>
    <t>02.02.140</t>
  </si>
  <si>
    <t>VEDAÇÕES</t>
  </si>
  <si>
    <t>02.02.320</t>
  </si>
  <si>
    <t>REMOÇÃO DE REDES HIDRÁULICAS, ELÉTRICAS E DE UTILIDADES</t>
  </si>
  <si>
    <t>02.02.322</t>
  </si>
  <si>
    <t>REDES EMBUTIDAS</t>
  </si>
  <si>
    <t>TAPUMES</t>
  </si>
  <si>
    <t>PLACAS</t>
  </si>
  <si>
    <t>05.06.700</t>
  </si>
  <si>
    <t>CAIXAS COLETORAS</t>
  </si>
  <si>
    <t>05.06.701</t>
  </si>
  <si>
    <t>EM ALVENARIA</t>
  </si>
  <si>
    <t>Total (05.00.000)</t>
  </si>
  <si>
    <t>02.01.100</t>
  </si>
  <si>
    <t>CONSTRUÇÕES PROVISÓRIAS</t>
  </si>
  <si>
    <t>02.01.107</t>
  </si>
  <si>
    <t>SERVIÇOS INICIAIS E INSTALAÇÕES PROVISÓRIAS</t>
  </si>
  <si>
    <t>02.01.000</t>
  </si>
  <si>
    <t>CANTEIRO DE OBRAS</t>
  </si>
  <si>
    <t>02.01.406</t>
  </si>
  <si>
    <t>EQUIPAMENTOS</t>
  </si>
  <si>
    <t>02.02.112.1</t>
  </si>
  <si>
    <t>02.01.107.01</t>
  </si>
  <si>
    <t>02.01.107.02</t>
  </si>
  <si>
    <t>02.01.401.01</t>
  </si>
  <si>
    <t>02.01.401.02</t>
  </si>
  <si>
    <t>02.01.404.01</t>
  </si>
  <si>
    <t>02.01.406.01</t>
  </si>
  <si>
    <t>02.02.140.01</t>
  </si>
  <si>
    <t>02.02.140.02</t>
  </si>
  <si>
    <t>02.02.140.03</t>
  </si>
  <si>
    <t>02.02.140.04</t>
  </si>
  <si>
    <t>02.02.140.05</t>
  </si>
  <si>
    <t>02.02.150.01</t>
  </si>
  <si>
    <t>02.02.150.02</t>
  </si>
  <si>
    <t>02.02.170.01</t>
  </si>
  <si>
    <t>02.02.170.02</t>
  </si>
  <si>
    <t>02.02.180.01</t>
  </si>
  <si>
    <t>02.02.340</t>
  </si>
  <si>
    <t>REMOÇÕES GERAIS</t>
  </si>
  <si>
    <t>02.02.340.01</t>
  </si>
  <si>
    <t>02.02.340.02</t>
  </si>
  <si>
    <t>02.02.322.01</t>
  </si>
  <si>
    <t>02.02.330.01</t>
  </si>
  <si>
    <t>04.01.230.01</t>
  </si>
  <si>
    <t>04.01.230.02</t>
  </si>
  <si>
    <t>04.01.230.03</t>
  </si>
  <si>
    <t>04.01.230.04</t>
  </si>
  <si>
    <t>04.01.534.01</t>
  </si>
  <si>
    <t>04.01.554.01</t>
  </si>
  <si>
    <t>04.01.554.02</t>
  </si>
  <si>
    <t>04.01.561.01</t>
  </si>
  <si>
    <t>04.01.561.02</t>
  </si>
  <si>
    <t>04.01.566.01</t>
  </si>
  <si>
    <t>04.01.569.01</t>
  </si>
  <si>
    <t>TINTA A BASE DE LATEX</t>
  </si>
  <si>
    <t>TINTA ACRILICA</t>
  </si>
  <si>
    <t>04.01.577</t>
  </si>
  <si>
    <t>SELADOR</t>
  </si>
  <si>
    <t>04.01.577.01</t>
  </si>
  <si>
    <t>04.01.577.02</t>
  </si>
  <si>
    <t>04.01.605.01</t>
  </si>
  <si>
    <t>04.01.605.02</t>
  </si>
  <si>
    <t>EMULSÕES HIDROASFÁLTICAS</t>
  </si>
  <si>
    <t>04.01.701.01</t>
  </si>
  <si>
    <t>04.01.702.01</t>
  </si>
  <si>
    <t>04.02.102.01</t>
  </si>
  <si>
    <t>04.02.102.02</t>
  </si>
  <si>
    <t>05.01.201.01</t>
  </si>
  <si>
    <t>05.01.201.02</t>
  </si>
  <si>
    <t>05.01.201.03</t>
  </si>
  <si>
    <t>05.01.201.04</t>
  </si>
  <si>
    <t>05.01.201.05</t>
  </si>
  <si>
    <t>05.01.202.01</t>
  </si>
  <si>
    <t>05.01.202.02</t>
  </si>
  <si>
    <t>05.01.202.03</t>
  </si>
  <si>
    <t>05.01.202.04</t>
  </si>
  <si>
    <t>05.01.203.01</t>
  </si>
  <si>
    <t>05.01.203.02</t>
  </si>
  <si>
    <t>05.01.203.03</t>
  </si>
  <si>
    <t>05.01.203.04</t>
  </si>
  <si>
    <t>05.01.203.05</t>
  </si>
  <si>
    <t>05.01.203.06</t>
  </si>
  <si>
    <t>05.01.207.01</t>
  </si>
  <si>
    <t>05.01.207.02</t>
  </si>
  <si>
    <t>05.01.207.03</t>
  </si>
  <si>
    <t>05.01.207.04</t>
  </si>
  <si>
    <t>05.01.208.01</t>
  </si>
  <si>
    <t>05.01.209.01</t>
  </si>
  <si>
    <t>05.01.209.02</t>
  </si>
  <si>
    <t>05.01.209.03</t>
  </si>
  <si>
    <t>05.01.209.04</t>
  </si>
  <si>
    <t>05.01.209.05</t>
  </si>
  <si>
    <t>05.01.209.06</t>
  </si>
  <si>
    <t>05.01.209.07</t>
  </si>
  <si>
    <t>05.01.501.01</t>
  </si>
  <si>
    <t>05.01.501.02</t>
  </si>
  <si>
    <t>05.01.503.01</t>
  </si>
  <si>
    <t>05.01.503.02</t>
  </si>
  <si>
    <t>05.01.503.03</t>
  </si>
  <si>
    <t>05.01.503.04</t>
  </si>
  <si>
    <t>05.01.506.01</t>
  </si>
  <si>
    <t>05.01.508.01</t>
  </si>
  <si>
    <t>05.01.511.01</t>
  </si>
  <si>
    <t>05.01.512.01</t>
  </si>
  <si>
    <t>05.01.512.02</t>
  </si>
  <si>
    <t>05.01.516.01</t>
  </si>
  <si>
    <t>05.01.516.02</t>
  </si>
  <si>
    <t>05.01.516.03</t>
  </si>
  <si>
    <t>05.01.516.04</t>
  </si>
  <si>
    <t>05.01.516.05</t>
  </si>
  <si>
    <t>05.01.517.01</t>
  </si>
  <si>
    <t>05.01.517.02</t>
  </si>
  <si>
    <t>05.01.519.01</t>
  </si>
  <si>
    <t>05.01.519.02</t>
  </si>
  <si>
    <t>05.01.531</t>
  </si>
  <si>
    <t>DEMAIS ACESSÓRIOS</t>
  </si>
  <si>
    <t>05.01.531.01</t>
  </si>
  <si>
    <t>05.01.524.01</t>
  </si>
  <si>
    <t>05.01.531.02</t>
  </si>
  <si>
    <t>05.01.531.03</t>
  </si>
  <si>
    <t>05.01.531.04</t>
  </si>
  <si>
    <t>05.01.531.05</t>
  </si>
  <si>
    <t>05.01.531.06</t>
  </si>
  <si>
    <t>05.01.531.07</t>
  </si>
  <si>
    <t>05.01.531.08</t>
  </si>
  <si>
    <t>05.01.531.09</t>
  </si>
  <si>
    <t>05.04.301.01</t>
  </si>
  <si>
    <t>05.04.301.02</t>
  </si>
  <si>
    <t>05.04.301.03</t>
  </si>
  <si>
    <t>05.04.301.04</t>
  </si>
  <si>
    <t>05.04.301.05</t>
  </si>
  <si>
    <t>05.04.305.01</t>
  </si>
  <si>
    <t>05.04.305.02</t>
  </si>
  <si>
    <t>05.04.305.03</t>
  </si>
  <si>
    <t>05.04.305.04</t>
  </si>
  <si>
    <t>05.04.305.05</t>
  </si>
  <si>
    <t>05.04.305.06</t>
  </si>
  <si>
    <t>05.04.305.07</t>
  </si>
  <si>
    <t>05.04.305.08</t>
  </si>
  <si>
    <t>05.04.305.09</t>
  </si>
  <si>
    <t>05.04.306.01</t>
  </si>
  <si>
    <t>05.04.306.02</t>
  </si>
  <si>
    <t>05.04.306.03</t>
  </si>
  <si>
    <t>05.04.306.04</t>
  </si>
  <si>
    <t>05.04.308.01</t>
  </si>
  <si>
    <t>05.04.309.01</t>
  </si>
  <si>
    <t>05.04.309.02</t>
  </si>
  <si>
    <t>05.04.310.01</t>
  </si>
  <si>
    <t>05.04.311.01</t>
  </si>
  <si>
    <t>05.06.701.01</t>
  </si>
  <si>
    <t>05.04.316</t>
  </si>
  <si>
    <t>DEMAIS CONEXÕES E ACESSÓRIOS</t>
  </si>
  <si>
    <t>05.04.316.01</t>
  </si>
  <si>
    <t>05.04.316.02</t>
  </si>
  <si>
    <t>05.04.316.03</t>
  </si>
  <si>
    <t>05.04.316.04</t>
  </si>
  <si>
    <t>05.04.316.05</t>
  </si>
  <si>
    <t>QUADRO GERAL DE BAIXA TENSÃO</t>
  </si>
  <si>
    <t>06.01.301.01</t>
  </si>
  <si>
    <t>06.01.304.01</t>
  </si>
  <si>
    <t>06.01.304.02</t>
  </si>
  <si>
    <t>06.01.305.01</t>
  </si>
  <si>
    <t>06.01.305.02</t>
  </si>
  <si>
    <t>06.01.306.01</t>
  </si>
  <si>
    <t>06.01.306.02</t>
  </si>
  <si>
    <t>06.01.308.01</t>
  </si>
  <si>
    <t>06.01.308.02</t>
  </si>
  <si>
    <t>06.01.308.03</t>
  </si>
  <si>
    <t>06.01.308.04</t>
  </si>
  <si>
    <t>06.01.401.01</t>
  </si>
  <si>
    <t>06.01.401.02</t>
  </si>
  <si>
    <t>06.01.401.03</t>
  </si>
  <si>
    <t>06.01.401.04</t>
  </si>
  <si>
    <t>06.01.403.01</t>
  </si>
  <si>
    <t>06.01.403.02</t>
  </si>
  <si>
    <t>06.01.404.01</t>
  </si>
  <si>
    <t>06.01.404.02</t>
  </si>
  <si>
    <t>06.01.414.01</t>
  </si>
  <si>
    <t>06.01.414.02</t>
  </si>
  <si>
    <t>06.01.414.03</t>
  </si>
  <si>
    <t>06.01.416</t>
  </si>
  <si>
    <t>SENSORES, ALARMES DE EMERGÊNCIA E  SISTEMAS DE PROTEÇÃO</t>
  </si>
  <si>
    <t>06.01.416.01</t>
  </si>
  <si>
    <t>06.01.416.02</t>
  </si>
  <si>
    <t>06.01.416.03</t>
  </si>
  <si>
    <t>07.04.102.01</t>
  </si>
  <si>
    <t>07.04.203.01</t>
  </si>
  <si>
    <t>07.04.301.01</t>
  </si>
  <si>
    <t>AXIAIS</t>
  </si>
  <si>
    <t>BOCAS DE AR</t>
  </si>
  <si>
    <t>TOMADA DE AR EXTERIOR</t>
  </si>
  <si>
    <t>09.02.000.01</t>
  </si>
  <si>
    <t>LIMPEZA DE OBRAS</t>
  </si>
  <si>
    <t>09.02.000.02</t>
  </si>
  <si>
    <t>COMO CONSTRUÍDO "AS BUILT"</t>
  </si>
  <si>
    <t>09.04.000.01</t>
  </si>
  <si>
    <t>07.00.000</t>
  </si>
  <si>
    <t>INSTALAÇÕES MECÂNICAS E DE UTILIDADES</t>
  </si>
  <si>
    <t>10.01.101</t>
  </si>
  <si>
    <t>,</t>
  </si>
  <si>
    <t>TINTA ACRÍLICA</t>
  </si>
  <si>
    <t>05.01.209.08</t>
  </si>
  <si>
    <t>05.01.209.09</t>
  </si>
  <si>
    <t>05.01.208.02</t>
  </si>
  <si>
    <t>05.01.202.05</t>
  </si>
  <si>
    <t>SINAPI 89391</t>
  </si>
  <si>
    <t>ADAPTADOR PVC SOLDAVEL CURTO COM BOLSA E ROSCA, 32 MM X 1", PARA AGUA FRIA</t>
  </si>
  <si>
    <t>ADAPTADOR CURTO COM BOLSA E ROSCA PARA REGISTRO, PVC, SOLDÁVEL, DN 32MM X 1?, INSTALADO EM RAMAL OU SUB-RAMAL DE ÁGUA - FORNECIMENTO E INSTALAÇÃO. AF_12/2014 (UN)</t>
  </si>
  <si>
    <t>R07</t>
  </si>
  <si>
    <t>25/05/2018</t>
  </si>
  <si>
    <t>Fornecimento e instalação Adaptador sold. Curto  com bolsa e rosca de 32mmx1"</t>
  </si>
  <si>
    <t>04.01.569.02</t>
  </si>
  <si>
    <t>Pintura acrílica sem emassamento, cor preta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</si>
</sst>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[$-416]General"/>
    <numFmt numFmtId="166" formatCode="mm/yy"/>
    <numFmt numFmtId="167" formatCode="_-[$R$-416]\ * #,##0.00_-;\-[$R$-416]\ * #,##0.00_-;_-[$R$-416]\ * &quot;-&quot;??_-;_-@_-"/>
    <numFmt numFmtId="168" formatCode="&quot;- &quot;0.00%&quot; do valor de cada instrumento&quot;"/>
    <numFmt numFmtId="169" formatCode="General&quot;.&quot;"/>
    <numFmt numFmtId="170" formatCode="#,##0.000000000"/>
    <numFmt numFmtId="171" formatCode="_(&quot;R$ &quot;* #,##0.00_);_(&quot;R$ &quot;* \(#,##0.00\);_(&quot;R$ &quot;* \-??_);_(@_)"/>
    <numFmt numFmtId="172" formatCode="&quot;R$ &quot;#,##0_);[Red]\(&quot;R$ &quot;#,##0\)"/>
    <numFmt numFmtId="173" formatCode="_(&quot;R$ &quot;* #,##0.00_);_(&quot;R$ &quot;* \(#,##0.00\);_(&quot;R$ &quot;* &quot;-&quot;??_);_(@_)"/>
    <numFmt numFmtId="174" formatCode="#.##0,"/>
    <numFmt numFmtId="175" formatCode="\$#,"/>
    <numFmt numFmtId="176" formatCode="#,#00"/>
    <numFmt numFmtId="177" formatCode="_-* #,##0.00_-;\-* #,##0.00_-;_-* \-??_-;_-@_-"/>
    <numFmt numFmtId="178" formatCode="&quot;R$&quot;\ #,##0.00"/>
    <numFmt numFmtId="179" formatCode="0.0000"/>
    <numFmt numFmtId="180" formatCode="0.0000000"/>
    <numFmt numFmtId="181" formatCode="_-&quot;R$&quot;\ * #,##0.000_-;\-&quot;R$&quot;\ * #,##0.000_-;_-&quot;R$&quot;\ * &quot;-&quot;??_-;_-@_-"/>
    <numFmt numFmtId="182" formatCode="_-&quot;R$&quot;\ * #,##0.0000_-;\-&quot;R$&quot;\ * #,##0.0000_-;_-&quot;R$&quot;\ * &quot;-&quot;??_-;_-@_-"/>
    <numFmt numFmtId="183" formatCode="_-&quot;R$&quot;\ * #,##0.00000_-;\-&quot;R$&quot;\ * #,##0.00000_-;_-&quot;R$&quot;\ * &quot;-&quot;??_-;_-@_-"/>
    <numFmt numFmtId="184" formatCode="_-&quot;R$&quot;\ * #,##0.000000_-;\-&quot;R$&quot;\ * #,##0.000000_-;_-&quot;R$&quot;\ * &quot;-&quot;??_-;_-@_-"/>
    <numFmt numFmtId="185" formatCode="&quot;R$&quot;\ #,##0.000"/>
    <numFmt numFmtId="186" formatCode="&quot;R$&quot;\ #,##0.0000"/>
    <numFmt numFmtId="187" formatCode="&quot;R$&quot;\ #,##0.00000"/>
  </numFmts>
  <fonts count="124">
    <font>
      <sz val="10"/>
      <color rgb="FF000000"/>
      <name val="Times New Roman"/>
      <family val="0"/>
    </font>
    <font>
      <sz val="11"/>
      <color indexed="8"/>
      <name val="Calibri"/>
      <family val="2"/>
    </font>
    <font>
      <b/>
      <sz val="9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55"/>
      <name val="Calibri"/>
      <family val="2"/>
    </font>
    <font>
      <u val="single"/>
      <sz val="10"/>
      <color indexed="12"/>
      <name val="Arial"/>
      <family val="2"/>
    </font>
    <font>
      <sz val="11"/>
      <color indexed="8"/>
      <name val="Arial"/>
      <family val="2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u val="single"/>
      <sz val="10"/>
      <color indexed="22"/>
      <name val="Arial"/>
      <family val="2"/>
    </font>
    <font>
      <sz val="11"/>
      <color indexed="55"/>
      <name val="Arial"/>
      <family val="2"/>
    </font>
    <font>
      <b/>
      <sz val="11"/>
      <name val="Arial"/>
      <family val="2"/>
    </font>
    <font>
      <b/>
      <sz val="18"/>
      <color indexed="62"/>
      <name val="Cambria"/>
      <family val="2"/>
    </font>
    <font>
      <sz val="14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Times New Roman"/>
      <family val="0"/>
    </font>
    <font>
      <sz val="11"/>
      <color indexed="24"/>
      <name val="Calibri"/>
      <family val="2"/>
    </font>
    <font>
      <sz val="11"/>
      <color indexed="58"/>
      <name val="Calibri"/>
      <family val="2"/>
    </font>
    <font>
      <b/>
      <sz val="11"/>
      <color indexed="45"/>
      <name val="Calibri"/>
      <family val="2"/>
    </font>
    <font>
      <b/>
      <sz val="11"/>
      <color indexed="24"/>
      <name val="Calibri"/>
      <family val="2"/>
    </font>
    <font>
      <sz val="11"/>
      <color indexed="45"/>
      <name val="Calibri"/>
      <family val="2"/>
    </font>
    <font>
      <sz val="11"/>
      <color indexed="54"/>
      <name val="Calibri"/>
      <family val="2"/>
    </font>
    <font>
      <u val="single"/>
      <sz val="10"/>
      <color indexed="12"/>
      <name val="Times New Roman"/>
      <family val="1"/>
    </font>
    <font>
      <sz val="11"/>
      <color indexed="12"/>
      <name val="Calibri"/>
      <family val="2"/>
    </font>
    <font>
      <b/>
      <sz val="11"/>
      <color indexed="51"/>
      <name val="Calibri"/>
      <family val="2"/>
    </font>
    <font>
      <i/>
      <sz val="11"/>
      <color indexed="15"/>
      <name val="Calibri"/>
      <family val="2"/>
    </font>
    <font>
      <sz val="18"/>
      <color indexed="56"/>
      <name val="Cambria"/>
      <family val="2"/>
    </font>
    <font>
      <b/>
      <sz val="15"/>
      <color indexed="51"/>
      <name val="Calibri"/>
      <family val="2"/>
    </font>
    <font>
      <b/>
      <sz val="13"/>
      <color indexed="51"/>
      <name val="Calibri"/>
      <family val="2"/>
    </font>
    <font>
      <b/>
      <sz val="18"/>
      <color indexed="51"/>
      <name val="Cambria"/>
      <family val="2"/>
    </font>
    <font>
      <b/>
      <sz val="11"/>
      <color indexed="55"/>
      <name val="Calibri"/>
      <family val="2"/>
    </font>
    <font>
      <sz val="14"/>
      <color indexed="8"/>
      <name val="Times New Roman"/>
      <family val="1"/>
    </font>
    <font>
      <sz val="9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0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b/>
      <sz val="10"/>
      <color indexed="9"/>
      <name val="Calibri"/>
      <family val="2"/>
    </font>
    <font>
      <b/>
      <sz val="9"/>
      <color indexed="9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1"/>
      <name val="Calibri"/>
      <family val="2"/>
    </font>
    <font>
      <b/>
      <i/>
      <sz val="10"/>
      <color indexed="8"/>
      <name val="Arial"/>
      <family val="2"/>
    </font>
    <font>
      <sz val="8"/>
      <name val="Tahoma"/>
      <family val="2"/>
    </font>
    <font>
      <sz val="12"/>
      <color indexed="8"/>
      <name val="Arial Narrow"/>
      <family val="2"/>
    </font>
    <font>
      <i/>
      <sz val="12"/>
      <color indexed="8"/>
      <name val="Arial Narrow"/>
      <family val="2"/>
    </font>
    <font>
      <i/>
      <sz val="12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u val="single"/>
      <sz val="10"/>
      <color theme="10"/>
      <name val="Times New Roman"/>
      <family val="1"/>
    </font>
    <font>
      <u val="single"/>
      <sz val="10"/>
      <color theme="10"/>
      <name val="Arial"/>
      <family val="2"/>
    </font>
    <font>
      <u val="single"/>
      <sz val="10"/>
      <color rgb="FF0000D4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4"/>
      <color theme="1"/>
      <name val="Times New Roman"/>
      <family val="1"/>
    </font>
    <font>
      <sz val="9"/>
      <color rgb="FF000000"/>
      <name val="Calibri"/>
      <family val="2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1"/>
      <color theme="1"/>
      <name val="Times New Roman"/>
      <family val="1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b/>
      <sz val="10"/>
      <color rgb="FF000000"/>
      <name val="Calibri"/>
      <family val="2"/>
    </font>
    <font>
      <b/>
      <sz val="10"/>
      <color theme="0"/>
      <name val="Calibri"/>
      <family val="2"/>
    </font>
    <font>
      <b/>
      <sz val="9"/>
      <color theme="0"/>
      <name val="Calibri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0"/>
      <color rgb="FF000000"/>
      <name val="Arial"/>
      <family val="2"/>
    </font>
    <font>
      <b/>
      <sz val="10"/>
      <color theme="1"/>
      <name val="Calibri"/>
      <family val="2"/>
    </font>
  </fonts>
  <fills count="11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 tint="-0.04997999966144562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indexed="51"/>
      </left>
      <right style="double">
        <color indexed="51"/>
      </right>
      <top style="double">
        <color indexed="51"/>
      </top>
      <bottom style="double">
        <color indexed="51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double">
        <color indexed="45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40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3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1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40"/>
      </top>
      <bottom style="double">
        <color indexed="40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>
        <color rgb="FF000000"/>
      </right>
      <top style="thin"/>
      <bottom/>
    </border>
    <border>
      <left style="thin">
        <color rgb="FF000000"/>
      </left>
      <right style="thin">
        <color rgb="FF000000"/>
      </right>
      <top style="thin"/>
      <bottom/>
    </border>
    <border>
      <left style="thin"/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/>
      <top/>
      <bottom style="thin"/>
    </border>
    <border>
      <left style="thin"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hair"/>
      <right style="hair">
        <color indexed="8"/>
      </right>
      <top style="hair"/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rgb="FF000000"/>
      </left>
      <right/>
      <top style="thin"/>
      <bottom/>
    </border>
    <border>
      <left style="hair"/>
      <right style="hair"/>
      <top style="hair"/>
      <bottom style="hair"/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 style="hair"/>
      <top style="hair">
        <color indexed="8"/>
      </top>
      <bottom style="hair">
        <color indexed="8"/>
      </bottom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/>
      <top style="thin"/>
      <bottom style="thin"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rgb="FF000000"/>
      </right>
      <top style="thin"/>
      <bottom/>
    </border>
    <border>
      <left style="hair"/>
      <right/>
      <top/>
      <bottom/>
    </border>
    <border>
      <left/>
      <right style="hair"/>
      <top/>
      <bottom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/>
      <top/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hair"/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/>
      <top style="hair"/>
      <bottom style="hair">
        <color indexed="8"/>
      </bottom>
    </border>
    <border>
      <left style="hair"/>
      <right style="hair">
        <color indexed="8"/>
      </right>
      <top style="hair"/>
      <bottom style="hair"/>
    </border>
    <border>
      <left style="hair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 style="hair"/>
      <top style="hair"/>
      <bottom style="hair"/>
    </border>
  </borders>
  <cellStyleXfs count="25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2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81" fillId="8" borderId="0" applyNumberFormat="0" applyBorder="0" applyAlignment="0" applyProtection="0"/>
    <xf numFmtId="0" fontId="27" fillId="9" borderId="0" applyNumberFormat="0" applyBorder="0" applyAlignment="0" applyProtection="0"/>
    <xf numFmtId="0" fontId="81" fillId="8" borderId="0" applyNumberFormat="0" applyBorder="0" applyAlignment="0" applyProtection="0"/>
    <xf numFmtId="0" fontId="81" fillId="8" borderId="0" applyNumberFormat="0" applyBorder="0" applyAlignment="0" applyProtection="0"/>
    <xf numFmtId="0" fontId="1" fillId="10" borderId="0" applyNumberFormat="0" applyBorder="0" applyAlignment="0" applyProtection="0"/>
    <xf numFmtId="0" fontId="27" fillId="9" borderId="0" applyNumberFormat="0" applyBorder="0" applyAlignment="0" applyProtection="0"/>
    <xf numFmtId="0" fontId="81" fillId="8" borderId="0" applyNumberFormat="0" applyBorder="0" applyAlignment="0" applyProtection="0"/>
    <xf numFmtId="0" fontId="27" fillId="9" borderId="0" applyNumberFormat="0" applyBorder="0" applyAlignment="0" applyProtection="0"/>
    <xf numFmtId="0" fontId="81" fillId="8" borderId="0" applyNumberFormat="0" applyBorder="0" applyAlignment="0" applyProtection="0"/>
    <xf numFmtId="0" fontId="81" fillId="8" borderId="0" applyNumberFormat="0" applyBorder="0" applyAlignment="0" applyProtection="0"/>
    <xf numFmtId="0" fontId="1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81" fillId="8" borderId="0" applyNumberFormat="0" applyBorder="0" applyAlignment="0" applyProtection="0"/>
    <xf numFmtId="0" fontId="27" fillId="9" borderId="0" applyNumberFormat="0" applyBorder="0" applyAlignment="0" applyProtection="0"/>
    <xf numFmtId="0" fontId="81" fillId="8" borderId="0" applyNumberFormat="0" applyBorder="0" applyAlignment="0" applyProtection="0"/>
    <xf numFmtId="0" fontId="81" fillId="8" borderId="0" applyNumberFormat="0" applyBorder="0" applyAlignment="0" applyProtection="0"/>
    <xf numFmtId="0" fontId="1" fillId="10" borderId="0" applyNumberFormat="0" applyBorder="0" applyAlignment="0" applyProtection="0"/>
    <xf numFmtId="0" fontId="27" fillId="9" borderId="0" applyNumberFormat="0" applyBorder="0" applyAlignment="0" applyProtection="0"/>
    <xf numFmtId="0" fontId="81" fillId="8" borderId="0" applyNumberFormat="0" applyBorder="0" applyAlignment="0" applyProtection="0"/>
    <xf numFmtId="0" fontId="27" fillId="9" borderId="0" applyNumberFormat="0" applyBorder="0" applyAlignment="0" applyProtection="0"/>
    <xf numFmtId="0" fontId="81" fillId="8" borderId="0" applyNumberFormat="0" applyBorder="0" applyAlignment="0" applyProtection="0"/>
    <xf numFmtId="0" fontId="27" fillId="9" borderId="0" applyNumberFormat="0" applyBorder="0" applyAlignment="0" applyProtection="0"/>
    <xf numFmtId="0" fontId="81" fillId="8" borderId="0" applyNumberFormat="0" applyBorder="0" applyAlignment="0" applyProtection="0"/>
    <xf numFmtId="0" fontId="27" fillId="9" borderId="0" applyNumberFormat="0" applyBorder="0" applyAlignment="0" applyProtection="0"/>
    <xf numFmtId="0" fontId="81" fillId="8" borderId="0" applyNumberFormat="0" applyBorder="0" applyAlignment="0" applyProtection="0"/>
    <xf numFmtId="0" fontId="1" fillId="10" borderId="0" applyNumberFormat="0" applyBorder="0" applyAlignment="0" applyProtection="0"/>
    <xf numFmtId="0" fontId="81" fillId="2" borderId="0" applyNumberFormat="0" applyBorder="0" applyAlignment="0" applyProtection="0"/>
    <xf numFmtId="0" fontId="81" fillId="8" borderId="0" applyNumberFormat="0" applyBorder="0" applyAlignment="0" applyProtection="0"/>
    <xf numFmtId="0" fontId="1" fillId="11" borderId="0" applyNumberFormat="0" applyBorder="0" applyAlignment="0" applyProtection="0"/>
    <xf numFmtId="0" fontId="81" fillId="8" borderId="0" applyNumberFormat="0" applyBorder="0" applyAlignment="0" applyProtection="0"/>
    <xf numFmtId="0" fontId="81" fillId="8" borderId="0" applyNumberFormat="0" applyBorder="0" applyAlignment="0" applyProtection="0"/>
    <xf numFmtId="0" fontId="81" fillId="12" borderId="0" applyNumberFormat="0" applyBorder="0" applyAlignment="0" applyProtection="0"/>
    <xf numFmtId="0" fontId="81" fillId="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81" fillId="12" borderId="0" applyNumberFormat="0" applyBorder="0" applyAlignment="0" applyProtection="0"/>
    <xf numFmtId="0" fontId="27" fillId="13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1" fillId="14" borderId="0" applyNumberFormat="0" applyBorder="0" applyAlignment="0" applyProtection="0"/>
    <xf numFmtId="0" fontId="27" fillId="13" borderId="0" applyNumberFormat="0" applyBorder="0" applyAlignment="0" applyProtection="0"/>
    <xf numFmtId="0" fontId="81" fillId="12" borderId="0" applyNumberFormat="0" applyBorder="0" applyAlignment="0" applyProtection="0"/>
    <xf numFmtId="0" fontId="27" fillId="13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1" fillId="14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81" fillId="12" borderId="0" applyNumberFormat="0" applyBorder="0" applyAlignment="0" applyProtection="0"/>
    <xf numFmtId="0" fontId="27" fillId="13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1" fillId="14" borderId="0" applyNumberFormat="0" applyBorder="0" applyAlignment="0" applyProtection="0"/>
    <xf numFmtId="0" fontId="27" fillId="13" borderId="0" applyNumberFormat="0" applyBorder="0" applyAlignment="0" applyProtection="0"/>
    <xf numFmtId="0" fontId="81" fillId="12" borderId="0" applyNumberFormat="0" applyBorder="0" applyAlignment="0" applyProtection="0"/>
    <xf numFmtId="0" fontId="27" fillId="13" borderId="0" applyNumberFormat="0" applyBorder="0" applyAlignment="0" applyProtection="0"/>
    <xf numFmtId="0" fontId="81" fillId="12" borderId="0" applyNumberFormat="0" applyBorder="0" applyAlignment="0" applyProtection="0"/>
    <xf numFmtId="0" fontId="27" fillId="13" borderId="0" applyNumberFormat="0" applyBorder="0" applyAlignment="0" applyProtection="0"/>
    <xf numFmtId="0" fontId="81" fillId="12" borderId="0" applyNumberFormat="0" applyBorder="0" applyAlignment="0" applyProtection="0"/>
    <xf numFmtId="0" fontId="27" fillId="13" borderId="0" applyNumberFormat="0" applyBorder="0" applyAlignment="0" applyProtection="0"/>
    <xf numFmtId="0" fontId="81" fillId="12" borderId="0" applyNumberFormat="0" applyBorder="0" applyAlignment="0" applyProtection="0"/>
    <xf numFmtId="0" fontId="1" fillId="14" borderId="0" applyNumberFormat="0" applyBorder="0" applyAlignment="0" applyProtection="0"/>
    <xf numFmtId="0" fontId="81" fillId="3" borderId="0" applyNumberFormat="0" applyBorder="0" applyAlignment="0" applyProtection="0"/>
    <xf numFmtId="0" fontId="81" fillId="12" borderId="0" applyNumberFormat="0" applyBorder="0" applyAlignment="0" applyProtection="0"/>
    <xf numFmtId="0" fontId="1" fillId="15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6" borderId="0" applyNumberFormat="0" applyBorder="0" applyAlignment="0" applyProtection="0"/>
    <xf numFmtId="0" fontId="81" fillId="4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81" fillId="16" borderId="0" applyNumberFormat="0" applyBorder="0" applyAlignment="0" applyProtection="0"/>
    <xf numFmtId="0" fontId="27" fillId="17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1" fillId="18" borderId="0" applyNumberFormat="0" applyBorder="0" applyAlignment="0" applyProtection="0"/>
    <xf numFmtId="0" fontId="27" fillId="17" borderId="0" applyNumberFormat="0" applyBorder="0" applyAlignment="0" applyProtection="0"/>
    <xf numFmtId="0" fontId="81" fillId="16" borderId="0" applyNumberFormat="0" applyBorder="0" applyAlignment="0" applyProtection="0"/>
    <xf numFmtId="0" fontId="27" fillId="17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1" fillId="18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81" fillId="16" borderId="0" applyNumberFormat="0" applyBorder="0" applyAlignment="0" applyProtection="0"/>
    <xf numFmtId="0" fontId="27" fillId="17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1" fillId="18" borderId="0" applyNumberFormat="0" applyBorder="0" applyAlignment="0" applyProtection="0"/>
    <xf numFmtId="0" fontId="27" fillId="17" borderId="0" applyNumberFormat="0" applyBorder="0" applyAlignment="0" applyProtection="0"/>
    <xf numFmtId="0" fontId="81" fillId="16" borderId="0" applyNumberFormat="0" applyBorder="0" applyAlignment="0" applyProtection="0"/>
    <xf numFmtId="0" fontId="27" fillId="17" borderId="0" applyNumberFormat="0" applyBorder="0" applyAlignment="0" applyProtection="0"/>
    <xf numFmtId="0" fontId="81" fillId="16" borderId="0" applyNumberFormat="0" applyBorder="0" applyAlignment="0" applyProtection="0"/>
    <xf numFmtId="0" fontId="27" fillId="17" borderId="0" applyNumberFormat="0" applyBorder="0" applyAlignment="0" applyProtection="0"/>
    <xf numFmtId="0" fontId="81" fillId="16" borderId="0" applyNumberFormat="0" applyBorder="0" applyAlignment="0" applyProtection="0"/>
    <xf numFmtId="0" fontId="27" fillId="17" borderId="0" applyNumberFormat="0" applyBorder="0" applyAlignment="0" applyProtection="0"/>
    <xf numFmtId="0" fontId="81" fillId="16" borderId="0" applyNumberFormat="0" applyBorder="0" applyAlignment="0" applyProtection="0"/>
    <xf numFmtId="0" fontId="1" fillId="18" borderId="0" applyNumberFormat="0" applyBorder="0" applyAlignment="0" applyProtection="0"/>
    <xf numFmtId="0" fontId="81" fillId="4" borderId="0" applyNumberFormat="0" applyBorder="0" applyAlignment="0" applyProtection="0"/>
    <xf numFmtId="0" fontId="81" fillId="16" borderId="0" applyNumberFormat="0" applyBorder="0" applyAlignment="0" applyProtection="0"/>
    <xf numFmtId="0" fontId="1" fillId="19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20" borderId="0" applyNumberFormat="0" applyBorder="0" applyAlignment="0" applyProtection="0"/>
    <xf numFmtId="0" fontId="81" fillId="5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81" fillId="20" borderId="0" applyNumberFormat="0" applyBorder="0" applyAlignment="0" applyProtection="0"/>
    <xf numFmtId="0" fontId="27" fillId="21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1" fillId="10" borderId="0" applyNumberFormat="0" applyBorder="0" applyAlignment="0" applyProtection="0"/>
    <xf numFmtId="0" fontId="27" fillId="21" borderId="0" applyNumberFormat="0" applyBorder="0" applyAlignment="0" applyProtection="0"/>
    <xf numFmtId="0" fontId="81" fillId="20" borderId="0" applyNumberFormat="0" applyBorder="0" applyAlignment="0" applyProtection="0"/>
    <xf numFmtId="0" fontId="27" fillId="21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1" fillId="1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81" fillId="20" borderId="0" applyNumberFormat="0" applyBorder="0" applyAlignment="0" applyProtection="0"/>
    <xf numFmtId="0" fontId="27" fillId="21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1" fillId="10" borderId="0" applyNumberFormat="0" applyBorder="0" applyAlignment="0" applyProtection="0"/>
    <xf numFmtId="0" fontId="27" fillId="21" borderId="0" applyNumberFormat="0" applyBorder="0" applyAlignment="0" applyProtection="0"/>
    <xf numFmtId="0" fontId="81" fillId="20" borderId="0" applyNumberFormat="0" applyBorder="0" applyAlignment="0" applyProtection="0"/>
    <xf numFmtId="0" fontId="27" fillId="21" borderId="0" applyNumberFormat="0" applyBorder="0" applyAlignment="0" applyProtection="0"/>
    <xf numFmtId="0" fontId="81" fillId="20" borderId="0" applyNumberFormat="0" applyBorder="0" applyAlignment="0" applyProtection="0"/>
    <xf numFmtId="0" fontId="27" fillId="21" borderId="0" applyNumberFormat="0" applyBorder="0" applyAlignment="0" applyProtection="0"/>
    <xf numFmtId="0" fontId="81" fillId="20" borderId="0" applyNumberFormat="0" applyBorder="0" applyAlignment="0" applyProtection="0"/>
    <xf numFmtId="0" fontId="27" fillId="21" borderId="0" applyNumberFormat="0" applyBorder="0" applyAlignment="0" applyProtection="0"/>
    <xf numFmtId="0" fontId="81" fillId="20" borderId="0" applyNumberFormat="0" applyBorder="0" applyAlignment="0" applyProtection="0"/>
    <xf numFmtId="0" fontId="1" fillId="10" borderId="0" applyNumberFormat="0" applyBorder="0" applyAlignment="0" applyProtection="0"/>
    <xf numFmtId="0" fontId="81" fillId="5" borderId="0" applyNumberFormat="0" applyBorder="0" applyAlignment="0" applyProtection="0"/>
    <xf numFmtId="0" fontId="81" fillId="20" borderId="0" applyNumberFormat="0" applyBorder="0" applyAlignment="0" applyProtection="0"/>
    <xf numFmtId="0" fontId="1" fillId="22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3" borderId="0" applyNumberFormat="0" applyBorder="0" applyAlignment="0" applyProtection="0"/>
    <xf numFmtId="0" fontId="1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81" fillId="23" borderId="0" applyNumberFormat="0" applyBorder="0" applyAlignment="0" applyProtection="0"/>
    <xf numFmtId="0" fontId="27" fillId="25" borderId="0" applyNumberFormat="0" applyBorder="0" applyAlignment="0" applyProtection="0"/>
    <xf numFmtId="0" fontId="81" fillId="23" borderId="0" applyNumberFormat="0" applyBorder="0" applyAlignment="0" applyProtection="0"/>
    <xf numFmtId="0" fontId="81" fillId="23" borderId="0" applyNumberFormat="0" applyBorder="0" applyAlignment="0" applyProtection="0"/>
    <xf numFmtId="0" fontId="1" fillId="26" borderId="0" applyNumberFormat="0" applyBorder="0" applyAlignment="0" applyProtection="0"/>
    <xf numFmtId="0" fontId="27" fillId="25" borderId="0" applyNumberFormat="0" applyBorder="0" applyAlignment="0" applyProtection="0"/>
    <xf numFmtId="0" fontId="81" fillId="23" borderId="0" applyNumberFormat="0" applyBorder="0" applyAlignment="0" applyProtection="0"/>
    <xf numFmtId="0" fontId="27" fillId="25" borderId="0" applyNumberFormat="0" applyBorder="0" applyAlignment="0" applyProtection="0"/>
    <xf numFmtId="0" fontId="81" fillId="23" borderId="0" applyNumberFormat="0" applyBorder="0" applyAlignment="0" applyProtection="0"/>
    <xf numFmtId="0" fontId="81" fillId="23" borderId="0" applyNumberFormat="0" applyBorder="0" applyAlignment="0" applyProtection="0"/>
    <xf numFmtId="0" fontId="1" fillId="26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81" fillId="23" borderId="0" applyNumberFormat="0" applyBorder="0" applyAlignment="0" applyProtection="0"/>
    <xf numFmtId="0" fontId="27" fillId="25" borderId="0" applyNumberFormat="0" applyBorder="0" applyAlignment="0" applyProtection="0"/>
    <xf numFmtId="0" fontId="81" fillId="23" borderId="0" applyNumberFormat="0" applyBorder="0" applyAlignment="0" applyProtection="0"/>
    <xf numFmtId="0" fontId="81" fillId="23" borderId="0" applyNumberFormat="0" applyBorder="0" applyAlignment="0" applyProtection="0"/>
    <xf numFmtId="0" fontId="1" fillId="26" borderId="0" applyNumberFormat="0" applyBorder="0" applyAlignment="0" applyProtection="0"/>
    <xf numFmtId="0" fontId="27" fillId="25" borderId="0" applyNumberFormat="0" applyBorder="0" applyAlignment="0" applyProtection="0"/>
    <xf numFmtId="0" fontId="81" fillId="23" borderId="0" applyNumberFormat="0" applyBorder="0" applyAlignment="0" applyProtection="0"/>
    <xf numFmtId="0" fontId="27" fillId="25" borderId="0" applyNumberFormat="0" applyBorder="0" applyAlignment="0" applyProtection="0"/>
    <xf numFmtId="0" fontId="81" fillId="23" borderId="0" applyNumberFormat="0" applyBorder="0" applyAlignment="0" applyProtection="0"/>
    <xf numFmtId="0" fontId="27" fillId="25" borderId="0" applyNumberFormat="0" applyBorder="0" applyAlignment="0" applyProtection="0"/>
    <xf numFmtId="0" fontId="81" fillId="23" borderId="0" applyNumberFormat="0" applyBorder="0" applyAlignment="0" applyProtection="0"/>
    <xf numFmtId="0" fontId="27" fillId="25" borderId="0" applyNumberFormat="0" applyBorder="0" applyAlignment="0" applyProtection="0"/>
    <xf numFmtId="0" fontId="81" fillId="23" borderId="0" applyNumberFormat="0" applyBorder="0" applyAlignment="0" applyProtection="0"/>
    <xf numFmtId="0" fontId="1" fillId="26" borderId="0" applyNumberFormat="0" applyBorder="0" applyAlignment="0" applyProtection="0"/>
    <xf numFmtId="0" fontId="81" fillId="23" borderId="0" applyNumberFormat="0" applyBorder="0" applyAlignment="0" applyProtection="0"/>
    <xf numFmtId="0" fontId="81" fillId="23" borderId="0" applyNumberFormat="0" applyBorder="0" applyAlignment="0" applyProtection="0"/>
    <xf numFmtId="0" fontId="81" fillId="23" borderId="0" applyNumberFormat="0" applyBorder="0" applyAlignment="0" applyProtection="0"/>
    <xf numFmtId="0" fontId="81" fillId="23" borderId="0" applyNumberFormat="0" applyBorder="0" applyAlignment="0" applyProtection="0"/>
    <xf numFmtId="0" fontId="81" fillId="27" borderId="0" applyNumberFormat="0" applyBorder="0" applyAlignment="0" applyProtection="0"/>
    <xf numFmtId="0" fontId="1" fillId="28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81" fillId="27" borderId="0" applyNumberFormat="0" applyBorder="0" applyAlignment="0" applyProtection="0"/>
    <xf numFmtId="0" fontId="27" fillId="2" borderId="0" applyNumberFormat="0" applyBorder="0" applyAlignment="0" applyProtection="0"/>
    <xf numFmtId="0" fontId="81" fillId="27" borderId="0" applyNumberFormat="0" applyBorder="0" applyAlignment="0" applyProtection="0"/>
    <xf numFmtId="0" fontId="81" fillId="27" borderId="0" applyNumberFormat="0" applyBorder="0" applyAlignment="0" applyProtection="0"/>
    <xf numFmtId="0" fontId="1" fillId="14" borderId="0" applyNumberFormat="0" applyBorder="0" applyAlignment="0" applyProtection="0"/>
    <xf numFmtId="0" fontId="27" fillId="2" borderId="0" applyNumberFormat="0" applyBorder="0" applyAlignment="0" applyProtection="0"/>
    <xf numFmtId="0" fontId="81" fillId="27" borderId="0" applyNumberFormat="0" applyBorder="0" applyAlignment="0" applyProtection="0"/>
    <xf numFmtId="0" fontId="27" fillId="2" borderId="0" applyNumberFormat="0" applyBorder="0" applyAlignment="0" applyProtection="0"/>
    <xf numFmtId="0" fontId="81" fillId="27" borderId="0" applyNumberFormat="0" applyBorder="0" applyAlignment="0" applyProtection="0"/>
    <xf numFmtId="0" fontId="81" fillId="27" borderId="0" applyNumberFormat="0" applyBorder="0" applyAlignment="0" applyProtection="0"/>
    <xf numFmtId="0" fontId="1" fillId="14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81" fillId="27" borderId="0" applyNumberFormat="0" applyBorder="0" applyAlignment="0" applyProtection="0"/>
    <xf numFmtId="0" fontId="27" fillId="2" borderId="0" applyNumberFormat="0" applyBorder="0" applyAlignment="0" applyProtection="0"/>
    <xf numFmtId="0" fontId="81" fillId="27" borderId="0" applyNumberFormat="0" applyBorder="0" applyAlignment="0" applyProtection="0"/>
    <xf numFmtId="0" fontId="81" fillId="27" borderId="0" applyNumberFormat="0" applyBorder="0" applyAlignment="0" applyProtection="0"/>
    <xf numFmtId="0" fontId="1" fillId="14" borderId="0" applyNumberFormat="0" applyBorder="0" applyAlignment="0" applyProtection="0"/>
    <xf numFmtId="0" fontId="27" fillId="2" borderId="0" applyNumberFormat="0" applyBorder="0" applyAlignment="0" applyProtection="0"/>
    <xf numFmtId="0" fontId="81" fillId="27" borderId="0" applyNumberFormat="0" applyBorder="0" applyAlignment="0" applyProtection="0"/>
    <xf numFmtId="0" fontId="27" fillId="2" borderId="0" applyNumberFormat="0" applyBorder="0" applyAlignment="0" applyProtection="0"/>
    <xf numFmtId="0" fontId="81" fillId="27" borderId="0" applyNumberFormat="0" applyBorder="0" applyAlignment="0" applyProtection="0"/>
    <xf numFmtId="0" fontId="27" fillId="2" borderId="0" applyNumberFormat="0" applyBorder="0" applyAlignment="0" applyProtection="0"/>
    <xf numFmtId="0" fontId="81" fillId="27" borderId="0" applyNumberFormat="0" applyBorder="0" applyAlignment="0" applyProtection="0"/>
    <xf numFmtId="0" fontId="27" fillId="2" borderId="0" applyNumberFormat="0" applyBorder="0" applyAlignment="0" applyProtection="0"/>
    <xf numFmtId="0" fontId="81" fillId="27" borderId="0" applyNumberFormat="0" applyBorder="0" applyAlignment="0" applyProtection="0"/>
    <xf numFmtId="0" fontId="1" fillId="14" borderId="0" applyNumberFormat="0" applyBorder="0" applyAlignment="0" applyProtection="0"/>
    <xf numFmtId="0" fontId="81" fillId="27" borderId="0" applyNumberFormat="0" applyBorder="0" applyAlignment="0" applyProtection="0"/>
    <xf numFmtId="0" fontId="81" fillId="27" borderId="0" applyNumberFormat="0" applyBorder="0" applyAlignment="0" applyProtection="0"/>
    <xf numFmtId="0" fontId="81" fillId="27" borderId="0" applyNumberFormat="0" applyBorder="0" applyAlignment="0" applyProtection="0"/>
    <xf numFmtId="0" fontId="8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81" fillId="33" borderId="0" applyNumberFormat="0" applyBorder="0" applyAlignment="0" applyProtection="0"/>
    <xf numFmtId="0" fontId="1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81" fillId="33" borderId="0" applyNumberFormat="0" applyBorder="0" applyAlignment="0" applyProtection="0"/>
    <xf numFmtId="0" fontId="27" fillId="35" borderId="0" applyNumberFormat="0" applyBorder="0" applyAlignment="0" applyProtection="0"/>
    <xf numFmtId="0" fontId="81" fillId="33" borderId="0" applyNumberFormat="0" applyBorder="0" applyAlignment="0" applyProtection="0"/>
    <xf numFmtId="0" fontId="81" fillId="33" borderId="0" applyNumberFormat="0" applyBorder="0" applyAlignment="0" applyProtection="0"/>
    <xf numFmtId="0" fontId="1" fillId="36" borderId="0" applyNumberFormat="0" applyBorder="0" applyAlignment="0" applyProtection="0"/>
    <xf numFmtId="0" fontId="27" fillId="35" borderId="0" applyNumberFormat="0" applyBorder="0" applyAlignment="0" applyProtection="0"/>
    <xf numFmtId="0" fontId="81" fillId="33" borderId="0" applyNumberFormat="0" applyBorder="0" applyAlignment="0" applyProtection="0"/>
    <xf numFmtId="0" fontId="27" fillId="35" borderId="0" applyNumberFormat="0" applyBorder="0" applyAlignment="0" applyProtection="0"/>
    <xf numFmtId="0" fontId="81" fillId="33" borderId="0" applyNumberFormat="0" applyBorder="0" applyAlignment="0" applyProtection="0"/>
    <xf numFmtId="0" fontId="81" fillId="33" borderId="0" applyNumberFormat="0" applyBorder="0" applyAlignment="0" applyProtection="0"/>
    <xf numFmtId="0" fontId="1" fillId="36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81" fillId="33" borderId="0" applyNumberFormat="0" applyBorder="0" applyAlignment="0" applyProtection="0"/>
    <xf numFmtId="0" fontId="27" fillId="35" borderId="0" applyNumberFormat="0" applyBorder="0" applyAlignment="0" applyProtection="0"/>
    <xf numFmtId="0" fontId="81" fillId="33" borderId="0" applyNumberFormat="0" applyBorder="0" applyAlignment="0" applyProtection="0"/>
    <xf numFmtId="0" fontId="81" fillId="33" borderId="0" applyNumberFormat="0" applyBorder="0" applyAlignment="0" applyProtection="0"/>
    <xf numFmtId="0" fontId="1" fillId="36" borderId="0" applyNumberFormat="0" applyBorder="0" applyAlignment="0" applyProtection="0"/>
    <xf numFmtId="0" fontId="27" fillId="35" borderId="0" applyNumberFormat="0" applyBorder="0" applyAlignment="0" applyProtection="0"/>
    <xf numFmtId="0" fontId="81" fillId="33" borderId="0" applyNumberFormat="0" applyBorder="0" applyAlignment="0" applyProtection="0"/>
    <xf numFmtId="0" fontId="27" fillId="35" borderId="0" applyNumberFormat="0" applyBorder="0" applyAlignment="0" applyProtection="0"/>
    <xf numFmtId="0" fontId="81" fillId="33" borderId="0" applyNumberFormat="0" applyBorder="0" applyAlignment="0" applyProtection="0"/>
    <xf numFmtId="0" fontId="27" fillId="35" borderId="0" applyNumberFormat="0" applyBorder="0" applyAlignment="0" applyProtection="0"/>
    <xf numFmtId="0" fontId="81" fillId="33" borderId="0" applyNumberFormat="0" applyBorder="0" applyAlignment="0" applyProtection="0"/>
    <xf numFmtId="0" fontId="27" fillId="35" borderId="0" applyNumberFormat="0" applyBorder="0" applyAlignment="0" applyProtection="0"/>
    <xf numFmtId="0" fontId="81" fillId="33" borderId="0" applyNumberFormat="0" applyBorder="0" applyAlignment="0" applyProtection="0"/>
    <xf numFmtId="0" fontId="1" fillId="36" borderId="0" applyNumberFormat="0" applyBorder="0" applyAlignment="0" applyProtection="0"/>
    <xf numFmtId="0" fontId="81" fillId="33" borderId="0" applyNumberFormat="0" applyBorder="0" applyAlignment="0" applyProtection="0"/>
    <xf numFmtId="0" fontId="81" fillId="33" borderId="0" applyNumberFormat="0" applyBorder="0" applyAlignment="0" applyProtection="0"/>
    <xf numFmtId="0" fontId="81" fillId="33" borderId="0" applyNumberFormat="0" applyBorder="0" applyAlignment="0" applyProtection="0"/>
    <xf numFmtId="0" fontId="81" fillId="33" borderId="0" applyNumberFormat="0" applyBorder="0" applyAlignment="0" applyProtection="0"/>
    <xf numFmtId="0" fontId="81" fillId="37" borderId="0" applyNumberFormat="0" applyBorder="0" applyAlignment="0" applyProtection="0"/>
    <xf numFmtId="0" fontId="1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81" fillId="37" borderId="0" applyNumberFormat="0" applyBorder="0" applyAlignment="0" applyProtection="0"/>
    <xf numFmtId="0" fontId="27" fillId="39" borderId="0" applyNumberFormat="0" applyBorder="0" applyAlignment="0" applyProtection="0"/>
    <xf numFmtId="0" fontId="81" fillId="37" borderId="0" applyNumberFormat="0" applyBorder="0" applyAlignment="0" applyProtection="0"/>
    <xf numFmtId="0" fontId="81" fillId="37" borderId="0" applyNumberFormat="0" applyBorder="0" applyAlignment="0" applyProtection="0"/>
    <xf numFmtId="0" fontId="1" fillId="38" borderId="0" applyNumberFormat="0" applyBorder="0" applyAlignment="0" applyProtection="0"/>
    <xf numFmtId="0" fontId="27" fillId="39" borderId="0" applyNumberFormat="0" applyBorder="0" applyAlignment="0" applyProtection="0"/>
    <xf numFmtId="0" fontId="81" fillId="37" borderId="0" applyNumberFormat="0" applyBorder="0" applyAlignment="0" applyProtection="0"/>
    <xf numFmtId="0" fontId="27" fillId="39" borderId="0" applyNumberFormat="0" applyBorder="0" applyAlignment="0" applyProtection="0"/>
    <xf numFmtId="0" fontId="81" fillId="37" borderId="0" applyNumberFormat="0" applyBorder="0" applyAlignment="0" applyProtection="0"/>
    <xf numFmtId="0" fontId="81" fillId="37" borderId="0" applyNumberFormat="0" applyBorder="0" applyAlignment="0" applyProtection="0"/>
    <xf numFmtId="0" fontId="1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81" fillId="37" borderId="0" applyNumberFormat="0" applyBorder="0" applyAlignment="0" applyProtection="0"/>
    <xf numFmtId="0" fontId="27" fillId="39" borderId="0" applyNumberFormat="0" applyBorder="0" applyAlignment="0" applyProtection="0"/>
    <xf numFmtId="0" fontId="81" fillId="37" borderId="0" applyNumberFormat="0" applyBorder="0" applyAlignment="0" applyProtection="0"/>
    <xf numFmtId="0" fontId="81" fillId="37" borderId="0" applyNumberFormat="0" applyBorder="0" applyAlignment="0" applyProtection="0"/>
    <xf numFmtId="0" fontId="1" fillId="38" borderId="0" applyNumberFormat="0" applyBorder="0" applyAlignment="0" applyProtection="0"/>
    <xf numFmtId="0" fontId="27" fillId="39" borderId="0" applyNumberFormat="0" applyBorder="0" applyAlignment="0" applyProtection="0"/>
    <xf numFmtId="0" fontId="81" fillId="37" borderId="0" applyNumberFormat="0" applyBorder="0" applyAlignment="0" applyProtection="0"/>
    <xf numFmtId="0" fontId="27" fillId="39" borderId="0" applyNumberFormat="0" applyBorder="0" applyAlignment="0" applyProtection="0"/>
    <xf numFmtId="0" fontId="81" fillId="37" borderId="0" applyNumberFormat="0" applyBorder="0" applyAlignment="0" applyProtection="0"/>
    <xf numFmtId="0" fontId="27" fillId="39" borderId="0" applyNumberFormat="0" applyBorder="0" applyAlignment="0" applyProtection="0"/>
    <xf numFmtId="0" fontId="81" fillId="37" borderId="0" applyNumberFormat="0" applyBorder="0" applyAlignment="0" applyProtection="0"/>
    <xf numFmtId="0" fontId="27" fillId="39" borderId="0" applyNumberFormat="0" applyBorder="0" applyAlignment="0" applyProtection="0"/>
    <xf numFmtId="0" fontId="81" fillId="37" borderId="0" applyNumberFormat="0" applyBorder="0" applyAlignment="0" applyProtection="0"/>
    <xf numFmtId="0" fontId="1" fillId="38" borderId="0" applyNumberFormat="0" applyBorder="0" applyAlignment="0" applyProtection="0"/>
    <xf numFmtId="0" fontId="81" fillId="37" borderId="0" applyNumberFormat="0" applyBorder="0" applyAlignment="0" applyProtection="0"/>
    <xf numFmtId="0" fontId="81" fillId="37" borderId="0" applyNumberFormat="0" applyBorder="0" applyAlignment="0" applyProtection="0"/>
    <xf numFmtId="0" fontId="81" fillId="37" borderId="0" applyNumberFormat="0" applyBorder="0" applyAlignment="0" applyProtection="0"/>
    <xf numFmtId="0" fontId="81" fillId="37" borderId="0" applyNumberFormat="0" applyBorder="0" applyAlignment="0" applyProtection="0"/>
    <xf numFmtId="0" fontId="81" fillId="40" borderId="0" applyNumberFormat="0" applyBorder="0" applyAlignment="0" applyProtection="0"/>
    <xf numFmtId="0" fontId="81" fillId="3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81" fillId="40" borderId="0" applyNumberFormat="0" applyBorder="0" applyAlignment="0" applyProtection="0"/>
    <xf numFmtId="0" fontId="27" fillId="41" borderId="0" applyNumberFormat="0" applyBorder="0" applyAlignment="0" applyProtection="0"/>
    <xf numFmtId="0" fontId="81" fillId="40" borderId="0" applyNumberFormat="0" applyBorder="0" applyAlignment="0" applyProtection="0"/>
    <xf numFmtId="0" fontId="81" fillId="40" borderId="0" applyNumberFormat="0" applyBorder="0" applyAlignment="0" applyProtection="0"/>
    <xf numFmtId="0" fontId="1" fillId="42" borderId="0" applyNumberFormat="0" applyBorder="0" applyAlignment="0" applyProtection="0"/>
    <xf numFmtId="0" fontId="27" fillId="41" borderId="0" applyNumberFormat="0" applyBorder="0" applyAlignment="0" applyProtection="0"/>
    <xf numFmtId="0" fontId="81" fillId="40" borderId="0" applyNumberFormat="0" applyBorder="0" applyAlignment="0" applyProtection="0"/>
    <xf numFmtId="0" fontId="27" fillId="41" borderId="0" applyNumberFormat="0" applyBorder="0" applyAlignment="0" applyProtection="0"/>
    <xf numFmtId="0" fontId="81" fillId="40" borderId="0" applyNumberFormat="0" applyBorder="0" applyAlignment="0" applyProtection="0"/>
    <xf numFmtId="0" fontId="81" fillId="40" borderId="0" applyNumberFormat="0" applyBorder="0" applyAlignment="0" applyProtection="0"/>
    <xf numFmtId="0" fontId="1" fillId="42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81" fillId="40" borderId="0" applyNumberFormat="0" applyBorder="0" applyAlignment="0" applyProtection="0"/>
    <xf numFmtId="0" fontId="27" fillId="41" borderId="0" applyNumberFormat="0" applyBorder="0" applyAlignment="0" applyProtection="0"/>
    <xf numFmtId="0" fontId="81" fillId="40" borderId="0" applyNumberFormat="0" applyBorder="0" applyAlignment="0" applyProtection="0"/>
    <xf numFmtId="0" fontId="81" fillId="40" borderId="0" applyNumberFormat="0" applyBorder="0" applyAlignment="0" applyProtection="0"/>
    <xf numFmtId="0" fontId="1" fillId="42" borderId="0" applyNumberFormat="0" applyBorder="0" applyAlignment="0" applyProtection="0"/>
    <xf numFmtId="0" fontId="27" fillId="41" borderId="0" applyNumberFormat="0" applyBorder="0" applyAlignment="0" applyProtection="0"/>
    <xf numFmtId="0" fontId="81" fillId="40" borderId="0" applyNumberFormat="0" applyBorder="0" applyAlignment="0" applyProtection="0"/>
    <xf numFmtId="0" fontId="27" fillId="41" borderId="0" applyNumberFormat="0" applyBorder="0" applyAlignment="0" applyProtection="0"/>
    <xf numFmtId="0" fontId="81" fillId="40" borderId="0" applyNumberFormat="0" applyBorder="0" applyAlignment="0" applyProtection="0"/>
    <xf numFmtId="0" fontId="27" fillId="41" borderId="0" applyNumberFormat="0" applyBorder="0" applyAlignment="0" applyProtection="0"/>
    <xf numFmtId="0" fontId="81" fillId="40" borderId="0" applyNumberFormat="0" applyBorder="0" applyAlignment="0" applyProtection="0"/>
    <xf numFmtId="0" fontId="27" fillId="41" borderId="0" applyNumberFormat="0" applyBorder="0" applyAlignment="0" applyProtection="0"/>
    <xf numFmtId="0" fontId="81" fillId="40" borderId="0" applyNumberFormat="0" applyBorder="0" applyAlignment="0" applyProtection="0"/>
    <xf numFmtId="0" fontId="1" fillId="42" borderId="0" applyNumberFormat="0" applyBorder="0" applyAlignment="0" applyProtection="0"/>
    <xf numFmtId="0" fontId="81" fillId="31" borderId="0" applyNumberFormat="0" applyBorder="0" applyAlignment="0" applyProtection="0"/>
    <xf numFmtId="0" fontId="81" fillId="40" borderId="0" applyNumberFormat="0" applyBorder="0" applyAlignment="0" applyProtection="0"/>
    <xf numFmtId="0" fontId="1" fillId="43" borderId="0" applyNumberFormat="0" applyBorder="0" applyAlignment="0" applyProtection="0"/>
    <xf numFmtId="0" fontId="81" fillId="40" borderId="0" applyNumberFormat="0" applyBorder="0" applyAlignment="0" applyProtection="0"/>
    <xf numFmtId="0" fontId="81" fillId="40" borderId="0" applyNumberFormat="0" applyBorder="0" applyAlignment="0" applyProtection="0"/>
    <xf numFmtId="0" fontId="81" fillId="44" borderId="0" applyNumberFormat="0" applyBorder="0" applyAlignment="0" applyProtection="0"/>
    <xf numFmtId="0" fontId="1" fillId="22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81" fillId="44" borderId="0" applyNumberFormat="0" applyBorder="0" applyAlignment="0" applyProtection="0"/>
    <xf numFmtId="0" fontId="27" fillId="30" borderId="0" applyNumberFormat="0" applyBorder="0" applyAlignment="0" applyProtection="0"/>
    <xf numFmtId="0" fontId="81" fillId="44" borderId="0" applyNumberFormat="0" applyBorder="0" applyAlignment="0" applyProtection="0"/>
    <xf numFmtId="0" fontId="81" fillId="44" borderId="0" applyNumberFormat="0" applyBorder="0" applyAlignment="0" applyProtection="0"/>
    <xf numFmtId="0" fontId="1" fillId="36" borderId="0" applyNumberFormat="0" applyBorder="0" applyAlignment="0" applyProtection="0"/>
    <xf numFmtId="0" fontId="27" fillId="30" borderId="0" applyNumberFormat="0" applyBorder="0" applyAlignment="0" applyProtection="0"/>
    <xf numFmtId="0" fontId="81" fillId="44" borderId="0" applyNumberFormat="0" applyBorder="0" applyAlignment="0" applyProtection="0"/>
    <xf numFmtId="0" fontId="27" fillId="30" borderId="0" applyNumberFormat="0" applyBorder="0" applyAlignment="0" applyProtection="0"/>
    <xf numFmtId="0" fontId="81" fillId="44" borderId="0" applyNumberFormat="0" applyBorder="0" applyAlignment="0" applyProtection="0"/>
    <xf numFmtId="0" fontId="81" fillId="44" borderId="0" applyNumberFormat="0" applyBorder="0" applyAlignment="0" applyProtection="0"/>
    <xf numFmtId="0" fontId="1" fillId="3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81" fillId="44" borderId="0" applyNumberFormat="0" applyBorder="0" applyAlignment="0" applyProtection="0"/>
    <xf numFmtId="0" fontId="27" fillId="30" borderId="0" applyNumberFormat="0" applyBorder="0" applyAlignment="0" applyProtection="0"/>
    <xf numFmtId="0" fontId="81" fillId="44" borderId="0" applyNumberFormat="0" applyBorder="0" applyAlignment="0" applyProtection="0"/>
    <xf numFmtId="0" fontId="81" fillId="44" borderId="0" applyNumberFormat="0" applyBorder="0" applyAlignment="0" applyProtection="0"/>
    <xf numFmtId="0" fontId="1" fillId="36" borderId="0" applyNumberFormat="0" applyBorder="0" applyAlignment="0" applyProtection="0"/>
    <xf numFmtId="0" fontId="27" fillId="30" borderId="0" applyNumberFormat="0" applyBorder="0" applyAlignment="0" applyProtection="0"/>
    <xf numFmtId="0" fontId="81" fillId="44" borderId="0" applyNumberFormat="0" applyBorder="0" applyAlignment="0" applyProtection="0"/>
    <xf numFmtId="0" fontId="27" fillId="30" borderId="0" applyNumberFormat="0" applyBorder="0" applyAlignment="0" applyProtection="0"/>
    <xf numFmtId="0" fontId="81" fillId="44" borderId="0" applyNumberFormat="0" applyBorder="0" applyAlignment="0" applyProtection="0"/>
    <xf numFmtId="0" fontId="27" fillId="30" borderId="0" applyNumberFormat="0" applyBorder="0" applyAlignment="0" applyProtection="0"/>
    <xf numFmtId="0" fontId="81" fillId="44" borderId="0" applyNumberFormat="0" applyBorder="0" applyAlignment="0" applyProtection="0"/>
    <xf numFmtId="0" fontId="27" fillId="30" borderId="0" applyNumberFormat="0" applyBorder="0" applyAlignment="0" applyProtection="0"/>
    <xf numFmtId="0" fontId="81" fillId="44" borderId="0" applyNumberFormat="0" applyBorder="0" applyAlignment="0" applyProtection="0"/>
    <xf numFmtId="0" fontId="1" fillId="36" borderId="0" applyNumberFormat="0" applyBorder="0" applyAlignment="0" applyProtection="0"/>
    <xf numFmtId="0" fontId="81" fillId="44" borderId="0" applyNumberFormat="0" applyBorder="0" applyAlignment="0" applyProtection="0"/>
    <xf numFmtId="0" fontId="81" fillId="44" borderId="0" applyNumberFormat="0" applyBorder="0" applyAlignment="0" applyProtection="0"/>
    <xf numFmtId="0" fontId="81" fillId="44" borderId="0" applyNumberFormat="0" applyBorder="0" applyAlignment="0" applyProtection="0"/>
    <xf numFmtId="0" fontId="81" fillId="44" borderId="0" applyNumberFormat="0" applyBorder="0" applyAlignment="0" applyProtection="0"/>
    <xf numFmtId="0" fontId="81" fillId="45" borderId="0" applyNumberFormat="0" applyBorder="0" applyAlignment="0" applyProtection="0"/>
    <xf numFmtId="0" fontId="1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81" fillId="45" borderId="0" applyNumberFormat="0" applyBorder="0" applyAlignment="0" applyProtection="0"/>
    <xf numFmtId="0" fontId="27" fillId="3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1" fillId="34" borderId="0" applyNumberFormat="0" applyBorder="0" applyAlignment="0" applyProtection="0"/>
    <xf numFmtId="0" fontId="27" fillId="35" borderId="0" applyNumberFormat="0" applyBorder="0" applyAlignment="0" applyProtection="0"/>
    <xf numFmtId="0" fontId="81" fillId="45" borderId="0" applyNumberFormat="0" applyBorder="0" applyAlignment="0" applyProtection="0"/>
    <xf numFmtId="0" fontId="27" fillId="3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1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81" fillId="45" borderId="0" applyNumberFormat="0" applyBorder="0" applyAlignment="0" applyProtection="0"/>
    <xf numFmtId="0" fontId="27" fillId="3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1" fillId="34" borderId="0" applyNumberFormat="0" applyBorder="0" applyAlignment="0" applyProtection="0"/>
    <xf numFmtId="0" fontId="27" fillId="35" borderId="0" applyNumberFormat="0" applyBorder="0" applyAlignment="0" applyProtection="0"/>
    <xf numFmtId="0" fontId="81" fillId="45" borderId="0" applyNumberFormat="0" applyBorder="0" applyAlignment="0" applyProtection="0"/>
    <xf numFmtId="0" fontId="27" fillId="35" borderId="0" applyNumberFormat="0" applyBorder="0" applyAlignment="0" applyProtection="0"/>
    <xf numFmtId="0" fontId="81" fillId="45" borderId="0" applyNumberFormat="0" applyBorder="0" applyAlignment="0" applyProtection="0"/>
    <xf numFmtId="0" fontId="27" fillId="35" borderId="0" applyNumberFormat="0" applyBorder="0" applyAlignment="0" applyProtection="0"/>
    <xf numFmtId="0" fontId="81" fillId="45" borderId="0" applyNumberFormat="0" applyBorder="0" applyAlignment="0" applyProtection="0"/>
    <xf numFmtId="0" fontId="27" fillId="35" borderId="0" applyNumberFormat="0" applyBorder="0" applyAlignment="0" applyProtection="0"/>
    <xf numFmtId="0" fontId="81" fillId="45" borderId="0" applyNumberFormat="0" applyBorder="0" applyAlignment="0" applyProtection="0"/>
    <xf numFmtId="0" fontId="1" fillId="34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6" borderId="0" applyNumberFormat="0" applyBorder="0" applyAlignment="0" applyProtection="0"/>
    <xf numFmtId="0" fontId="1" fillId="4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81" fillId="46" borderId="0" applyNumberFormat="0" applyBorder="0" applyAlignment="0" applyProtection="0"/>
    <xf numFmtId="0" fontId="27" fillId="6" borderId="0" applyNumberFormat="0" applyBorder="0" applyAlignment="0" applyProtection="0"/>
    <xf numFmtId="0" fontId="81" fillId="46" borderId="0" applyNumberFormat="0" applyBorder="0" applyAlignment="0" applyProtection="0"/>
    <xf numFmtId="0" fontId="81" fillId="46" borderId="0" applyNumberFormat="0" applyBorder="0" applyAlignment="0" applyProtection="0"/>
    <xf numFmtId="0" fontId="1" fillId="14" borderId="0" applyNumberFormat="0" applyBorder="0" applyAlignment="0" applyProtection="0"/>
    <xf numFmtId="0" fontId="27" fillId="6" borderId="0" applyNumberFormat="0" applyBorder="0" applyAlignment="0" applyProtection="0"/>
    <xf numFmtId="0" fontId="81" fillId="46" borderId="0" applyNumberFormat="0" applyBorder="0" applyAlignment="0" applyProtection="0"/>
    <xf numFmtId="0" fontId="27" fillId="6" borderId="0" applyNumberFormat="0" applyBorder="0" applyAlignment="0" applyProtection="0"/>
    <xf numFmtId="0" fontId="81" fillId="46" borderId="0" applyNumberFormat="0" applyBorder="0" applyAlignment="0" applyProtection="0"/>
    <xf numFmtId="0" fontId="81" fillId="46" borderId="0" applyNumberFormat="0" applyBorder="0" applyAlignment="0" applyProtection="0"/>
    <xf numFmtId="0" fontId="1" fillId="14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81" fillId="46" borderId="0" applyNumberFormat="0" applyBorder="0" applyAlignment="0" applyProtection="0"/>
    <xf numFmtId="0" fontId="27" fillId="6" borderId="0" applyNumberFormat="0" applyBorder="0" applyAlignment="0" applyProtection="0"/>
    <xf numFmtId="0" fontId="81" fillId="46" borderId="0" applyNumberFormat="0" applyBorder="0" applyAlignment="0" applyProtection="0"/>
    <xf numFmtId="0" fontId="81" fillId="46" borderId="0" applyNumberFormat="0" applyBorder="0" applyAlignment="0" applyProtection="0"/>
    <xf numFmtId="0" fontId="1" fillId="14" borderId="0" applyNumberFormat="0" applyBorder="0" applyAlignment="0" applyProtection="0"/>
    <xf numFmtId="0" fontId="27" fillId="6" borderId="0" applyNumberFormat="0" applyBorder="0" applyAlignment="0" applyProtection="0"/>
    <xf numFmtId="0" fontId="81" fillId="46" borderId="0" applyNumberFormat="0" applyBorder="0" applyAlignment="0" applyProtection="0"/>
    <xf numFmtId="0" fontId="27" fillId="6" borderId="0" applyNumberFormat="0" applyBorder="0" applyAlignment="0" applyProtection="0"/>
    <xf numFmtId="0" fontId="81" fillId="46" borderId="0" applyNumberFormat="0" applyBorder="0" applyAlignment="0" applyProtection="0"/>
    <xf numFmtId="0" fontId="27" fillId="6" borderId="0" applyNumberFormat="0" applyBorder="0" applyAlignment="0" applyProtection="0"/>
    <xf numFmtId="0" fontId="81" fillId="46" borderId="0" applyNumberFormat="0" applyBorder="0" applyAlignment="0" applyProtection="0"/>
    <xf numFmtId="0" fontId="27" fillId="6" borderId="0" applyNumberFormat="0" applyBorder="0" applyAlignment="0" applyProtection="0"/>
    <xf numFmtId="0" fontId="81" fillId="46" borderId="0" applyNumberFormat="0" applyBorder="0" applyAlignment="0" applyProtection="0"/>
    <xf numFmtId="0" fontId="1" fillId="14" borderId="0" applyNumberFormat="0" applyBorder="0" applyAlignment="0" applyProtection="0"/>
    <xf numFmtId="0" fontId="81" fillId="46" borderId="0" applyNumberFormat="0" applyBorder="0" applyAlignment="0" applyProtection="0"/>
    <xf numFmtId="0" fontId="81" fillId="46" borderId="0" applyNumberFormat="0" applyBorder="0" applyAlignment="0" applyProtection="0"/>
    <xf numFmtId="0" fontId="81" fillId="46" borderId="0" applyNumberFormat="0" applyBorder="0" applyAlignment="0" applyProtection="0"/>
    <xf numFmtId="0" fontId="81" fillId="46" borderId="0" applyNumberFormat="0" applyBorder="0" applyAlignment="0" applyProtection="0"/>
    <xf numFmtId="0" fontId="6" fillId="48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82" fillId="52" borderId="0" applyNumberFormat="0" applyBorder="0" applyAlignment="0" applyProtection="0"/>
    <xf numFmtId="0" fontId="6" fillId="53" borderId="0" applyNumberFormat="0" applyBorder="0" applyAlignment="0" applyProtection="0"/>
    <xf numFmtId="0" fontId="41" fillId="54" borderId="0" applyNumberFormat="0" applyBorder="0" applyAlignment="0" applyProtection="0"/>
    <xf numFmtId="0" fontId="82" fillId="52" borderId="0" applyNumberFormat="0" applyBorder="0" applyAlignment="0" applyProtection="0"/>
    <xf numFmtId="0" fontId="82" fillId="55" borderId="0" applyNumberFormat="0" applyBorder="0" applyAlignment="0" applyProtection="0"/>
    <xf numFmtId="0" fontId="6" fillId="38" borderId="0" applyNumberFormat="0" applyBorder="0" applyAlignment="0" applyProtection="0"/>
    <xf numFmtId="0" fontId="41" fillId="56" borderId="0" applyNumberFormat="0" applyBorder="0" applyAlignment="0" applyProtection="0"/>
    <xf numFmtId="0" fontId="82" fillId="55" borderId="0" applyNumberFormat="0" applyBorder="0" applyAlignment="0" applyProtection="0"/>
    <xf numFmtId="0" fontId="82" fillId="57" borderId="0" applyNumberFormat="0" applyBorder="0" applyAlignment="0" applyProtection="0"/>
    <xf numFmtId="0" fontId="82" fillId="31" borderId="0" applyNumberFormat="0" applyBorder="0" applyAlignment="0" applyProtection="0"/>
    <xf numFmtId="0" fontId="41" fillId="58" borderId="0" applyNumberFormat="0" applyBorder="0" applyAlignment="0" applyProtection="0"/>
    <xf numFmtId="0" fontId="82" fillId="57" borderId="0" applyNumberFormat="0" applyBorder="0" applyAlignment="0" applyProtection="0"/>
    <xf numFmtId="0" fontId="82" fillId="31" borderId="0" applyNumberFormat="0" applyBorder="0" applyAlignment="0" applyProtection="0"/>
    <xf numFmtId="0" fontId="6" fillId="43" borderId="0" applyNumberFormat="0" applyBorder="0" applyAlignment="0" applyProtection="0"/>
    <xf numFmtId="0" fontId="82" fillId="59" borderId="0" applyNumberFormat="0" applyBorder="0" applyAlignment="0" applyProtection="0"/>
    <xf numFmtId="0" fontId="82" fillId="49" borderId="0" applyNumberFormat="0" applyBorder="0" applyAlignment="0" applyProtection="0"/>
    <xf numFmtId="0" fontId="41" fillId="30" borderId="0" applyNumberFormat="0" applyBorder="0" applyAlignment="0" applyProtection="0"/>
    <xf numFmtId="0" fontId="82" fillId="59" borderId="0" applyNumberFormat="0" applyBorder="0" applyAlignment="0" applyProtection="0"/>
    <xf numFmtId="0" fontId="82" fillId="49" borderId="0" applyNumberFormat="0" applyBorder="0" applyAlignment="0" applyProtection="0"/>
    <xf numFmtId="0" fontId="6" fillId="60" borderId="0" applyNumberFormat="0" applyBorder="0" applyAlignment="0" applyProtection="0"/>
    <xf numFmtId="0" fontId="82" fillId="61" borderId="0" applyNumberFormat="0" applyBorder="0" applyAlignment="0" applyProtection="0"/>
    <xf numFmtId="0" fontId="6" fillId="62" borderId="0" applyNumberFormat="0" applyBorder="0" applyAlignment="0" applyProtection="0"/>
    <xf numFmtId="0" fontId="41" fillId="63" borderId="0" applyNumberFormat="0" applyBorder="0" applyAlignment="0" applyProtection="0"/>
    <xf numFmtId="0" fontId="82" fillId="61" borderId="0" applyNumberFormat="0" applyBorder="0" applyAlignment="0" applyProtection="0"/>
    <xf numFmtId="0" fontId="82" fillId="64" borderId="0" applyNumberFormat="0" applyBorder="0" applyAlignment="0" applyProtection="0"/>
    <xf numFmtId="0" fontId="82" fillId="51" borderId="0" applyNumberFormat="0" applyBorder="0" applyAlignment="0" applyProtection="0"/>
    <xf numFmtId="0" fontId="41" fillId="6" borderId="0" applyNumberFormat="0" applyBorder="0" applyAlignment="0" applyProtection="0"/>
    <xf numFmtId="0" fontId="82" fillId="64" borderId="0" applyNumberFormat="0" applyBorder="0" applyAlignment="0" applyProtection="0"/>
    <xf numFmtId="0" fontId="82" fillId="51" borderId="0" applyNumberFormat="0" applyBorder="0" applyAlignment="0" applyProtection="0"/>
    <xf numFmtId="0" fontId="6" fillId="65" borderId="0" applyNumberFormat="0" applyBorder="0" applyAlignment="0" applyProtection="0"/>
    <xf numFmtId="0" fontId="6" fillId="66" borderId="0" applyNumberFormat="0" applyBorder="0" applyAlignment="0" applyProtection="0"/>
    <xf numFmtId="0" fontId="6" fillId="13" borderId="0" applyNumberFormat="0" applyBorder="0" applyAlignment="0" applyProtection="0"/>
    <xf numFmtId="0" fontId="6" fillId="67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68" borderId="0" applyNumberFormat="0" applyBorder="0" applyAlignment="0" applyProtection="0"/>
    <xf numFmtId="0" fontId="12" fillId="3" borderId="0" applyNumberFormat="0" applyBorder="0" applyAlignment="0" applyProtection="0"/>
    <xf numFmtId="0" fontId="83" fillId="69" borderId="0" applyNumberFormat="0" applyBorder="0" applyAlignment="0" applyProtection="0"/>
    <xf numFmtId="0" fontId="7" fillId="19" borderId="0" applyNumberFormat="0" applyBorder="0" applyAlignment="0" applyProtection="0"/>
    <xf numFmtId="0" fontId="42" fillId="70" borderId="0" applyNumberFormat="0" applyBorder="0" applyAlignment="0" applyProtection="0"/>
    <xf numFmtId="0" fontId="83" fillId="69" borderId="0" applyNumberFormat="0" applyBorder="0" applyAlignment="0" applyProtection="0"/>
    <xf numFmtId="0" fontId="8" fillId="71" borderId="1" applyNumberFormat="0" applyAlignment="0" applyProtection="0"/>
    <xf numFmtId="0" fontId="8" fillId="71" borderId="1" applyNumberFormat="0" applyAlignment="0" applyProtection="0"/>
    <xf numFmtId="0" fontId="84" fillId="72" borderId="2" applyNumberFormat="0" applyAlignment="0" applyProtection="0"/>
    <xf numFmtId="0" fontId="8" fillId="73" borderId="1" applyNumberFormat="0" applyAlignment="0" applyProtection="0"/>
    <xf numFmtId="0" fontId="43" fillId="17" borderId="3" applyNumberFormat="0" applyAlignment="0" applyProtection="0"/>
    <xf numFmtId="0" fontId="84" fillId="72" borderId="2" applyNumberFormat="0" applyAlignment="0" applyProtection="0"/>
    <xf numFmtId="0" fontId="8" fillId="73" borderId="1" applyNumberFormat="0" applyAlignment="0" applyProtection="0"/>
    <xf numFmtId="0" fontId="3" fillId="0" borderId="0">
      <alignment/>
      <protection/>
    </xf>
    <xf numFmtId="0" fontId="85" fillId="74" borderId="4" applyNumberFormat="0" applyAlignment="0" applyProtection="0"/>
    <xf numFmtId="0" fontId="9" fillId="75" borderId="5" applyNumberFormat="0" applyAlignment="0" applyProtection="0"/>
    <xf numFmtId="0" fontId="44" fillId="31" borderId="6" applyNumberFormat="0" applyAlignment="0" applyProtection="0"/>
    <xf numFmtId="0" fontId="85" fillId="74" borderId="4" applyNumberFormat="0" applyAlignment="0" applyProtection="0"/>
    <xf numFmtId="0" fontId="86" fillId="0" borderId="7" applyNumberFormat="0" applyFill="0" applyAlignment="0" applyProtection="0"/>
    <xf numFmtId="0" fontId="10" fillId="0" borderId="8" applyNumberFormat="0" applyFill="0" applyAlignment="0" applyProtection="0"/>
    <xf numFmtId="0" fontId="45" fillId="0" borderId="9" applyNumberFormat="0" applyFill="0" applyAlignment="0" applyProtection="0"/>
    <xf numFmtId="0" fontId="86" fillId="0" borderId="7" applyNumberFormat="0" applyFill="0" applyAlignment="0" applyProtection="0"/>
    <xf numFmtId="0" fontId="9" fillId="76" borderId="5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4" fontId="30" fillId="0" borderId="0">
      <alignment/>
      <protection locked="0"/>
    </xf>
    <xf numFmtId="173" fontId="3" fillId="0" borderId="0" applyFont="0" applyFill="0" applyBorder="0" applyAlignment="0" applyProtection="0"/>
    <xf numFmtId="175" fontId="30" fillId="0" borderId="0">
      <alignment/>
      <protection locked="0"/>
    </xf>
    <xf numFmtId="0" fontId="30" fillId="0" borderId="0">
      <alignment/>
      <protection locked="0"/>
    </xf>
    <xf numFmtId="0" fontId="82" fillId="77" borderId="0" applyNumberFormat="0" applyBorder="0" applyAlignment="0" applyProtection="0"/>
    <xf numFmtId="0" fontId="6" fillId="78" borderId="0" applyNumberFormat="0" applyBorder="0" applyAlignment="0" applyProtection="0"/>
    <xf numFmtId="0" fontId="41" fillId="79" borderId="0" applyNumberFormat="0" applyBorder="0" applyAlignment="0" applyProtection="0"/>
    <xf numFmtId="0" fontId="82" fillId="77" borderId="0" applyNumberFormat="0" applyBorder="0" applyAlignment="0" applyProtection="0"/>
    <xf numFmtId="0" fontId="82" fillId="80" borderId="0" applyNumberFormat="0" applyBorder="0" applyAlignment="0" applyProtection="0"/>
    <xf numFmtId="0" fontId="6" fillId="81" borderId="0" applyNumberFormat="0" applyBorder="0" applyAlignment="0" applyProtection="0"/>
    <xf numFmtId="0" fontId="41" fillId="29" borderId="0" applyNumberFormat="0" applyBorder="0" applyAlignment="0" applyProtection="0"/>
    <xf numFmtId="0" fontId="82" fillId="80" borderId="0" applyNumberFormat="0" applyBorder="0" applyAlignment="0" applyProtection="0"/>
    <xf numFmtId="0" fontId="82" fillId="82" borderId="0" applyNumberFormat="0" applyBorder="0" applyAlignment="0" applyProtection="0"/>
    <xf numFmtId="0" fontId="6" fillId="83" borderId="0" applyNumberFormat="0" applyBorder="0" applyAlignment="0" applyProtection="0"/>
    <xf numFmtId="0" fontId="41" fillId="31" borderId="0" applyNumberFormat="0" applyBorder="0" applyAlignment="0" applyProtection="0"/>
    <xf numFmtId="0" fontId="82" fillId="82" borderId="0" applyNumberFormat="0" applyBorder="0" applyAlignment="0" applyProtection="0"/>
    <xf numFmtId="0" fontId="82" fillId="84" borderId="0" applyNumberFormat="0" applyBorder="0" applyAlignment="0" applyProtection="0"/>
    <xf numFmtId="0" fontId="6" fillId="60" borderId="0" applyNumberFormat="0" applyBorder="0" applyAlignment="0" applyProtection="0"/>
    <xf numFmtId="0" fontId="41" fillId="4" borderId="0" applyNumberFormat="0" applyBorder="0" applyAlignment="0" applyProtection="0"/>
    <xf numFmtId="0" fontId="82" fillId="84" borderId="0" applyNumberFormat="0" applyBorder="0" applyAlignment="0" applyProtection="0"/>
    <xf numFmtId="0" fontId="82" fillId="85" borderId="0" applyNumberFormat="0" applyBorder="0" applyAlignment="0" applyProtection="0"/>
    <xf numFmtId="0" fontId="6" fillId="62" borderId="0" applyNumberFormat="0" applyBorder="0" applyAlignment="0" applyProtection="0"/>
    <xf numFmtId="0" fontId="41" fillId="79" borderId="0" applyNumberFormat="0" applyBorder="0" applyAlignment="0" applyProtection="0"/>
    <xf numFmtId="0" fontId="82" fillId="85" borderId="0" applyNumberFormat="0" applyBorder="0" applyAlignment="0" applyProtection="0"/>
    <xf numFmtId="0" fontId="82" fillId="86" borderId="0" applyNumberFormat="0" applyBorder="0" applyAlignment="0" applyProtection="0"/>
    <xf numFmtId="0" fontId="6" fillId="87" borderId="0" applyNumberFormat="0" applyBorder="0" applyAlignment="0" applyProtection="0"/>
    <xf numFmtId="0" fontId="41" fillId="50" borderId="0" applyNumberFormat="0" applyBorder="0" applyAlignment="0" applyProtection="0"/>
    <xf numFmtId="0" fontId="82" fillId="86" borderId="0" applyNumberFormat="0" applyBorder="0" applyAlignment="0" applyProtection="0"/>
    <xf numFmtId="0" fontId="87" fillId="88" borderId="2" applyNumberFormat="0" applyAlignment="0" applyProtection="0"/>
    <xf numFmtId="0" fontId="11" fillId="28" borderId="1" applyNumberFormat="0" applyAlignment="0" applyProtection="0"/>
    <xf numFmtId="0" fontId="46" fillId="89" borderId="3" applyNumberFormat="0" applyAlignment="0" applyProtection="0"/>
    <xf numFmtId="0" fontId="87" fillId="88" borderId="2" applyNumberFormat="0" applyAlignment="0" applyProtection="0"/>
    <xf numFmtId="0" fontId="11" fillId="28" borderId="1" applyNumberFormat="0" applyAlignment="0" applyProtection="0"/>
    <xf numFmtId="165" fontId="88" fillId="0" borderId="0">
      <alignment/>
      <protection/>
    </xf>
    <xf numFmtId="0" fontId="4" fillId="0" borderId="0" applyNumberFormat="0" applyFill="0" applyBorder="0" applyProtection="0">
      <alignment vertical="top" wrapText="1"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Protection="0">
      <alignment vertical="top" wrapText="1"/>
    </xf>
    <xf numFmtId="0" fontId="1" fillId="0" borderId="0">
      <alignment/>
      <protection/>
    </xf>
    <xf numFmtId="0" fontId="3" fillId="0" borderId="0">
      <alignment/>
      <protection/>
    </xf>
    <xf numFmtId="0" fontId="16" fillId="0" borderId="0" applyNumberFormat="0" applyFill="0" applyBorder="0" applyAlignment="0" applyProtection="0"/>
    <xf numFmtId="176" fontId="30" fillId="0" borderId="0">
      <alignment/>
      <protection locked="0"/>
    </xf>
    <xf numFmtId="0" fontId="7" fillId="4" borderId="0" applyNumberFormat="0" applyBorder="0" applyAlignment="0" applyProtection="0"/>
    <xf numFmtId="0" fontId="18" fillId="0" borderId="10" applyNumberFormat="0" applyFill="0" applyAlignment="0" applyProtection="0"/>
    <xf numFmtId="0" fontId="31" fillId="0" borderId="0">
      <alignment/>
      <protection locked="0"/>
    </xf>
    <xf numFmtId="0" fontId="19" fillId="0" borderId="11" applyNumberFormat="0" applyFill="0" applyAlignment="0" applyProtection="0"/>
    <xf numFmtId="0" fontId="31" fillId="0" borderId="0">
      <alignment/>
      <protection locked="0"/>
    </xf>
    <xf numFmtId="0" fontId="20" fillId="0" borderId="12" applyNumberFormat="0" applyFill="0" applyAlignment="0" applyProtection="0"/>
    <xf numFmtId="0" fontId="20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91" fillId="0" borderId="0" applyBorder="0" applyProtection="0">
      <alignment/>
    </xf>
    <xf numFmtId="0" fontId="32" fillId="0" borderId="0" applyBorder="0" applyProtection="0">
      <alignment/>
    </xf>
    <xf numFmtId="0" fontId="92" fillId="90" borderId="0" applyNumberFormat="0" applyBorder="0" applyAlignment="0" applyProtection="0"/>
    <xf numFmtId="0" fontId="12" fillId="15" borderId="0" applyNumberFormat="0" applyBorder="0" applyAlignment="0" applyProtection="0"/>
    <xf numFmtId="0" fontId="48" fillId="91" borderId="0" applyNumberFormat="0" applyBorder="0" applyAlignment="0" applyProtection="0"/>
    <xf numFmtId="0" fontId="92" fillId="90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1" fontId="3" fillId="0" borderId="0" applyBorder="0" applyProtection="0">
      <alignment/>
    </xf>
    <xf numFmtId="44" fontId="1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ill="0" applyBorder="0" applyAlignment="0" applyProtection="0"/>
    <xf numFmtId="173" fontId="3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173" fontId="3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173" fontId="3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93" fillId="92" borderId="0" applyNumberFormat="0" applyBorder="0" applyAlignment="0" applyProtection="0"/>
    <xf numFmtId="0" fontId="13" fillId="42" borderId="0" applyNumberFormat="0" applyBorder="0" applyAlignment="0" applyProtection="0"/>
    <xf numFmtId="0" fontId="93" fillId="30" borderId="0" applyNumberFormat="0" applyBorder="0" applyAlignment="0" applyProtection="0"/>
    <xf numFmtId="0" fontId="93" fillId="92" borderId="0" applyNumberFormat="0" applyBorder="0" applyAlignment="0" applyProtection="0"/>
    <xf numFmtId="0" fontId="13" fillId="93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1" fillId="0" borderId="0">
      <alignment/>
      <protection/>
    </xf>
    <xf numFmtId="0" fontId="33" fillId="0" borderId="0">
      <alignment/>
      <protection/>
    </xf>
    <xf numFmtId="0" fontId="94" fillId="0" borderId="0">
      <alignment/>
      <protection/>
    </xf>
    <xf numFmtId="0" fontId="8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3" fillId="0" borderId="0">
      <alignment/>
      <protection/>
    </xf>
    <xf numFmtId="0" fontId="8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81" fillId="0" borderId="0">
      <alignment/>
      <protection/>
    </xf>
    <xf numFmtId="0" fontId="27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81" fillId="0" borderId="0">
      <alignment/>
      <protection/>
    </xf>
    <xf numFmtId="0" fontId="27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81" fillId="0" borderId="0">
      <alignment/>
      <protection/>
    </xf>
    <xf numFmtId="0" fontId="27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81" fillId="0" borderId="0">
      <alignment/>
      <protection/>
    </xf>
    <xf numFmtId="0" fontId="27" fillId="0" borderId="0">
      <alignment/>
      <protection/>
    </xf>
    <xf numFmtId="0" fontId="81" fillId="0" borderId="0">
      <alignment/>
      <protection/>
    </xf>
    <xf numFmtId="0" fontId="27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1" fillId="0" borderId="0">
      <alignment/>
      <protection/>
    </xf>
    <xf numFmtId="0" fontId="8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8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94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27" fillId="0" borderId="0">
      <alignment/>
      <protection/>
    </xf>
    <xf numFmtId="0" fontId="81" fillId="0" borderId="0">
      <alignment/>
      <protection/>
    </xf>
    <xf numFmtId="0" fontId="27" fillId="0" borderId="0">
      <alignment/>
      <protection/>
    </xf>
    <xf numFmtId="0" fontId="81" fillId="0" borderId="0">
      <alignment/>
      <protection/>
    </xf>
    <xf numFmtId="0" fontId="27" fillId="0" borderId="0">
      <alignment/>
      <protection/>
    </xf>
    <xf numFmtId="0" fontId="81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81" fillId="0" borderId="0">
      <alignment/>
      <protection/>
    </xf>
    <xf numFmtId="0" fontId="27" fillId="0" borderId="0">
      <alignment/>
      <protection/>
    </xf>
    <xf numFmtId="0" fontId="81" fillId="0" borderId="0">
      <alignment/>
      <protection/>
    </xf>
    <xf numFmtId="0" fontId="27" fillId="0" borderId="0">
      <alignment/>
      <protection/>
    </xf>
    <xf numFmtId="0" fontId="81" fillId="0" borderId="0">
      <alignment/>
      <protection/>
    </xf>
    <xf numFmtId="0" fontId="1" fillId="0" borderId="0">
      <alignment/>
      <protection/>
    </xf>
    <xf numFmtId="0" fontId="81" fillId="0" borderId="0">
      <alignment/>
      <protection/>
    </xf>
    <xf numFmtId="0" fontId="27" fillId="0" borderId="0">
      <alignment/>
      <protection/>
    </xf>
    <xf numFmtId="0" fontId="81" fillId="0" borderId="0">
      <alignment/>
      <protection/>
    </xf>
    <xf numFmtId="0" fontId="27" fillId="0" borderId="0">
      <alignment/>
      <protection/>
    </xf>
    <xf numFmtId="0" fontId="81" fillId="0" borderId="0">
      <alignment/>
      <protection/>
    </xf>
    <xf numFmtId="0" fontId="27" fillId="0" borderId="0">
      <alignment/>
      <protection/>
    </xf>
    <xf numFmtId="0" fontId="81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81" fillId="0" borderId="0">
      <alignment/>
      <protection/>
    </xf>
    <xf numFmtId="0" fontId="27" fillId="0" borderId="0">
      <alignment/>
      <protection/>
    </xf>
    <xf numFmtId="0" fontId="81" fillId="0" borderId="0">
      <alignment/>
      <protection/>
    </xf>
    <xf numFmtId="0" fontId="27" fillId="0" borderId="0">
      <alignment/>
      <protection/>
    </xf>
    <xf numFmtId="0" fontId="81" fillId="0" borderId="0">
      <alignment/>
      <protection/>
    </xf>
    <xf numFmtId="0" fontId="27" fillId="0" borderId="0">
      <alignment/>
      <protection/>
    </xf>
    <xf numFmtId="0" fontId="8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166" fontId="3" fillId="0" borderId="0">
      <alignment/>
      <protection/>
    </xf>
    <xf numFmtId="0" fontId="33" fillId="0" borderId="0">
      <alignment/>
      <protection/>
    </xf>
    <xf numFmtId="0" fontId="94" fillId="0" borderId="0">
      <alignment/>
      <protection/>
    </xf>
    <xf numFmtId="0" fontId="81" fillId="0" borderId="0">
      <alignment/>
      <protection/>
    </xf>
    <xf numFmtId="0" fontId="33" fillId="0" borderId="0">
      <alignment/>
      <protection/>
    </xf>
    <xf numFmtId="0" fontId="94" fillId="0" borderId="0">
      <alignment/>
      <protection/>
    </xf>
    <xf numFmtId="0" fontId="0" fillId="94" borderId="13" applyNumberFormat="0" applyFont="0" applyAlignment="0" applyProtection="0"/>
    <xf numFmtId="0" fontId="1" fillId="94" borderId="13" applyNumberFormat="0" applyFont="0" applyAlignment="0" applyProtection="0"/>
    <xf numFmtId="0" fontId="3" fillId="21" borderId="14" applyNumberFormat="0" applyFont="0" applyAlignment="0" applyProtection="0"/>
    <xf numFmtId="0" fontId="3" fillId="94" borderId="13" applyNumberFormat="0" applyFont="0" applyAlignment="0" applyProtection="0"/>
    <xf numFmtId="0" fontId="3" fillId="21" borderId="14" applyNumberFormat="0" applyFont="0" applyAlignment="0" applyProtection="0"/>
    <xf numFmtId="0" fontId="3" fillId="94" borderId="13" applyNumberFormat="0" applyFont="0" applyAlignment="0" applyProtection="0"/>
    <xf numFmtId="0" fontId="1" fillId="21" borderId="14" applyNumberFormat="0" applyFont="0" applyAlignment="0" applyProtection="0"/>
    <xf numFmtId="0" fontId="3" fillId="18" borderId="15" applyNumberFormat="0" applyAlignment="0" applyProtection="0"/>
    <xf numFmtId="0" fontId="1" fillId="94" borderId="13" applyNumberFormat="0" applyFont="0" applyAlignment="0" applyProtection="0"/>
    <xf numFmtId="0" fontId="81" fillId="94" borderId="13" applyNumberFormat="0" applyFont="0" applyAlignment="0" applyProtection="0"/>
    <xf numFmtId="0" fontId="1" fillId="18" borderId="15" applyNumberFormat="0" applyAlignment="0" applyProtection="0"/>
    <xf numFmtId="0" fontId="81" fillId="94" borderId="13" applyNumberFormat="0" applyFont="0" applyAlignment="0" applyProtection="0"/>
    <xf numFmtId="0" fontId="1" fillId="18" borderId="15" applyNumberFormat="0" applyAlignment="0" applyProtection="0"/>
    <xf numFmtId="0" fontId="81" fillId="94" borderId="13" applyNumberFormat="0" applyFont="0" applyAlignment="0" applyProtection="0"/>
    <xf numFmtId="0" fontId="81" fillId="94" borderId="13" applyNumberFormat="0" applyFont="0" applyAlignment="0" applyProtection="0"/>
    <xf numFmtId="0" fontId="81" fillId="94" borderId="13" applyNumberFormat="0" applyFont="0" applyAlignment="0" applyProtection="0"/>
    <xf numFmtId="0" fontId="1" fillId="95" borderId="15" applyNumberFormat="0" applyFont="0" applyAlignment="0" applyProtection="0"/>
    <xf numFmtId="0" fontId="3" fillId="95" borderId="15" applyNumberFormat="0" applyFont="0" applyAlignment="0" applyProtection="0"/>
    <xf numFmtId="0" fontId="3" fillId="95" borderId="15" applyNumberFormat="0" applyFont="0" applyAlignment="0" applyProtection="0"/>
    <xf numFmtId="0" fontId="3" fillId="95" borderId="15" applyNumberFormat="0" applyFont="0" applyAlignment="0" applyProtection="0"/>
    <xf numFmtId="0" fontId="3" fillId="95" borderId="15" applyNumberFormat="0" applyFont="0" applyAlignment="0" applyProtection="0"/>
    <xf numFmtId="0" fontId="3" fillId="95" borderId="15" applyNumberFormat="0" applyFont="0" applyAlignment="0" applyProtection="0"/>
    <xf numFmtId="0" fontId="3" fillId="95" borderId="15" applyNumberFormat="0" applyFont="0" applyAlignment="0" applyProtection="0"/>
    <xf numFmtId="0" fontId="3" fillId="95" borderId="15" applyNumberFormat="0" applyFont="0" applyAlignment="0" applyProtection="0"/>
    <xf numFmtId="0" fontId="3" fillId="95" borderId="15" applyNumberFormat="0" applyFont="0" applyAlignment="0" applyProtection="0"/>
    <xf numFmtId="0" fontId="3" fillId="95" borderId="15" applyNumberFormat="0" applyFont="0" applyAlignment="0" applyProtection="0"/>
    <xf numFmtId="0" fontId="3" fillId="95" borderId="15" applyNumberFormat="0" applyFont="0" applyAlignment="0" applyProtection="0"/>
    <xf numFmtId="0" fontId="3" fillId="95" borderId="15" applyNumberFormat="0" applyFont="0" applyAlignment="0" applyProtection="0"/>
    <xf numFmtId="0" fontId="3" fillId="95" borderId="15" applyNumberFormat="0" applyFont="0" applyAlignment="0" applyProtection="0"/>
    <xf numFmtId="0" fontId="3" fillId="95" borderId="15" applyNumberFormat="0" applyFont="0" applyAlignment="0" applyProtection="0"/>
    <xf numFmtId="0" fontId="3" fillId="95" borderId="15" applyNumberFormat="0" applyFont="0" applyAlignment="0" applyProtection="0"/>
    <xf numFmtId="0" fontId="3" fillId="95" borderId="15" applyNumberFormat="0" applyFont="0" applyAlignment="0" applyProtection="0"/>
    <xf numFmtId="0" fontId="3" fillId="95" borderId="15" applyNumberFormat="0" applyFont="0" applyAlignment="0" applyProtection="0"/>
    <xf numFmtId="0" fontId="1" fillId="95" borderId="15" applyNumberFormat="0" applyFont="0" applyAlignment="0" applyProtection="0"/>
    <xf numFmtId="0" fontId="14" fillId="71" borderId="16" applyNumberFormat="0" applyAlignment="0" applyProtection="0"/>
    <xf numFmtId="0" fontId="14" fillId="71" borderId="16" applyNumberFormat="0" applyAlignment="0" applyProtection="0"/>
    <xf numFmtId="9" fontId="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ill="0" applyBorder="0" applyAlignment="0" applyProtection="0"/>
    <xf numFmtId="9" fontId="3" fillId="0" borderId="0" applyFont="0" applyFill="0" applyBorder="0" applyAlignment="0" applyProtection="0"/>
    <xf numFmtId="9" fontId="1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8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3" fillId="0" borderId="0" applyBorder="0" applyProtection="0">
      <alignment/>
    </xf>
    <xf numFmtId="9" fontId="3" fillId="0" borderId="0" applyFill="0" applyBorder="0" applyAlignment="0" applyProtection="0"/>
    <xf numFmtId="0" fontId="95" fillId="72" borderId="17" applyNumberFormat="0" applyAlignment="0" applyProtection="0"/>
    <xf numFmtId="0" fontId="14" fillId="73" borderId="16" applyNumberFormat="0" applyAlignment="0" applyProtection="0"/>
    <xf numFmtId="0" fontId="49" fillId="17" borderId="18" applyNumberFormat="0" applyAlignment="0" applyProtection="0"/>
    <xf numFmtId="0" fontId="95" fillId="72" borderId="17" applyNumberFormat="0" applyAlignment="0" applyProtection="0"/>
    <xf numFmtId="0" fontId="14" fillId="73" borderId="16" applyNumberFormat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9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19" applyNumberFormat="0" applyFill="0" applyAlignment="0" applyProtection="0"/>
    <xf numFmtId="0" fontId="18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52" fillId="0" borderId="20" applyNumberFormat="0" applyFill="0" applyAlignment="0" applyProtection="0"/>
    <xf numFmtId="0" fontId="99" fillId="0" borderId="19" applyNumberFormat="0" applyFill="0" applyAlignment="0" applyProtection="0"/>
    <xf numFmtId="0" fontId="100" fillId="0" borderId="21" applyNumberFormat="0" applyFill="0" applyAlignment="0" applyProtection="0"/>
    <xf numFmtId="0" fontId="19" fillId="0" borderId="11" applyNumberFormat="0" applyFill="0" applyAlignment="0" applyProtection="0"/>
    <xf numFmtId="0" fontId="53" fillId="0" borderId="22" applyNumberFormat="0" applyFill="0" applyAlignment="0" applyProtection="0"/>
    <xf numFmtId="0" fontId="100" fillId="0" borderId="21" applyNumberFormat="0" applyFill="0" applyAlignment="0" applyProtection="0"/>
    <xf numFmtId="0" fontId="101" fillId="0" borderId="23" applyNumberFormat="0" applyFill="0" applyAlignment="0" applyProtection="0"/>
    <xf numFmtId="0" fontId="20" fillId="0" borderId="12" applyNumberFormat="0" applyFill="0" applyAlignment="0" applyProtection="0"/>
    <xf numFmtId="0" fontId="49" fillId="0" borderId="24" applyNumberFormat="0" applyFill="0" applyAlignment="0" applyProtection="0"/>
    <xf numFmtId="0" fontId="101" fillId="0" borderId="23" applyNumberFormat="0" applyFill="0" applyAlignment="0" applyProtection="0"/>
    <xf numFmtId="0" fontId="10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3" fillId="0" borderId="25" applyNumberFormat="0" applyFill="0" applyAlignment="0" applyProtection="0"/>
    <xf numFmtId="0" fontId="5" fillId="0" borderId="26" applyNumberFormat="0" applyFill="0" applyAlignment="0" applyProtection="0"/>
    <xf numFmtId="0" fontId="55" fillId="0" borderId="27" applyNumberFormat="0" applyFill="0" applyAlignment="0" applyProtection="0"/>
    <xf numFmtId="0" fontId="103" fillId="0" borderId="25" applyNumberFormat="0" applyFill="0" applyAlignment="0" applyProtection="0"/>
    <xf numFmtId="0" fontId="5" fillId="0" borderId="26" applyNumberFormat="0" applyFill="0" applyAlignment="0" applyProtection="0"/>
    <xf numFmtId="43" fontId="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1" fillId="0" borderId="0" applyFont="0" applyFill="0" applyBorder="0" applyAlignment="0" applyProtection="0"/>
    <xf numFmtId="164" fontId="3" fillId="0" borderId="0" applyBorder="0" applyProtection="0">
      <alignment/>
    </xf>
    <xf numFmtId="43" fontId="8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922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 wrapText="1"/>
    </xf>
    <xf numFmtId="2" fontId="0" fillId="0" borderId="0" xfId="0" applyNumberForma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10" fontId="104" fillId="0" borderId="0" xfId="1001" applyNumberFormat="1" applyFont="1" applyAlignment="1" applyProtection="1">
      <alignment/>
      <protection/>
    </xf>
    <xf numFmtId="0" fontId="104" fillId="0" borderId="0" xfId="0" applyFont="1" applyAlignment="1" applyProtection="1">
      <alignment/>
      <protection/>
    </xf>
    <xf numFmtId="0" fontId="104" fillId="0" borderId="0" xfId="0" applyFont="1" applyAlignment="1" applyProtection="1">
      <alignment wrapText="1"/>
      <protection/>
    </xf>
    <xf numFmtId="10" fontId="104" fillId="0" borderId="0" xfId="0" applyNumberFormat="1" applyFont="1" applyAlignment="1" applyProtection="1">
      <alignment/>
      <protection/>
    </xf>
    <xf numFmtId="0" fontId="105" fillId="0" borderId="0" xfId="0" applyFont="1" applyFill="1" applyBorder="1" applyAlignment="1">
      <alignment vertical="center"/>
    </xf>
    <xf numFmtId="0" fontId="2" fillId="96" borderId="28" xfId="0" applyFont="1" applyFill="1" applyBorder="1" applyAlignment="1">
      <alignment horizontal="center" vertical="center" wrapText="1"/>
    </xf>
    <xf numFmtId="0" fontId="104" fillId="0" borderId="0" xfId="0" applyFont="1" applyAlignment="1" applyProtection="1">
      <alignment vertical="center"/>
      <protection/>
    </xf>
    <xf numFmtId="0" fontId="106" fillId="0" borderId="0" xfId="0" applyFont="1" applyAlignment="1" applyProtection="1">
      <alignment vertical="center"/>
      <protection/>
    </xf>
    <xf numFmtId="0" fontId="107" fillId="0" borderId="0" xfId="0" applyFont="1" applyAlignment="1" applyProtection="1">
      <alignment vertical="center"/>
      <protection/>
    </xf>
    <xf numFmtId="0" fontId="108" fillId="0" borderId="0" xfId="0" applyFont="1" applyAlignment="1" applyProtection="1">
      <alignment vertical="center"/>
      <protection/>
    </xf>
    <xf numFmtId="0" fontId="109" fillId="0" borderId="0" xfId="0" applyFont="1" applyAlignment="1" applyProtection="1">
      <alignment vertical="center"/>
      <protection/>
    </xf>
    <xf numFmtId="0" fontId="103" fillId="0" borderId="0" xfId="0" applyFont="1" applyAlignment="1" applyProtection="1">
      <alignment vertical="center"/>
      <protection/>
    </xf>
    <xf numFmtId="0" fontId="81" fillId="0" borderId="0" xfId="0" applyFont="1" applyAlignment="1" applyProtection="1">
      <alignment vertical="center"/>
      <protection/>
    </xf>
    <xf numFmtId="0" fontId="109" fillId="97" borderId="29" xfId="0" applyFont="1" applyFill="1" applyBorder="1" applyAlignment="1" applyProtection="1">
      <alignment vertical="center"/>
      <protection/>
    </xf>
    <xf numFmtId="0" fontId="103" fillId="97" borderId="30" xfId="0" applyFont="1" applyFill="1" applyBorder="1" applyAlignment="1" applyProtection="1">
      <alignment vertical="center"/>
      <protection/>
    </xf>
    <xf numFmtId="0" fontId="81" fillId="97" borderId="30" xfId="0" applyFont="1" applyFill="1" applyBorder="1" applyAlignment="1" applyProtection="1">
      <alignment vertical="center"/>
      <protection/>
    </xf>
    <xf numFmtId="0" fontId="81" fillId="97" borderId="31" xfId="0" applyFont="1" applyFill="1" applyBorder="1" applyAlignment="1" applyProtection="1">
      <alignment vertical="center"/>
      <protection/>
    </xf>
    <xf numFmtId="0" fontId="109" fillId="97" borderId="32" xfId="0" applyFont="1" applyFill="1" applyBorder="1" applyAlignment="1" applyProtection="1">
      <alignment vertical="center"/>
      <protection/>
    </xf>
    <xf numFmtId="0" fontId="81" fillId="97" borderId="0" xfId="0" applyFont="1" applyFill="1" applyBorder="1" applyAlignment="1" applyProtection="1">
      <alignment vertical="center"/>
      <protection/>
    </xf>
    <xf numFmtId="0" fontId="81" fillId="97" borderId="33" xfId="0" applyFont="1" applyFill="1" applyBorder="1" applyAlignment="1" applyProtection="1">
      <alignment vertical="center"/>
      <protection/>
    </xf>
    <xf numFmtId="0" fontId="109" fillId="97" borderId="34" xfId="0" applyFont="1" applyFill="1" applyBorder="1" applyAlignment="1" applyProtection="1">
      <alignment vertical="center"/>
      <protection/>
    </xf>
    <xf numFmtId="0" fontId="103" fillId="97" borderId="35" xfId="0" applyFont="1" applyFill="1" applyBorder="1" applyAlignment="1" applyProtection="1">
      <alignment vertical="center"/>
      <protection/>
    </xf>
    <xf numFmtId="0" fontId="81" fillId="97" borderId="35" xfId="0" applyFont="1" applyFill="1" applyBorder="1" applyAlignment="1" applyProtection="1">
      <alignment vertical="center"/>
      <protection/>
    </xf>
    <xf numFmtId="0" fontId="81" fillId="97" borderId="36" xfId="0" applyFont="1" applyFill="1" applyBorder="1" applyAlignment="1" applyProtection="1">
      <alignment vertical="center"/>
      <protection/>
    </xf>
    <xf numFmtId="10" fontId="21" fillId="0" borderId="28" xfId="1000" applyNumberFormat="1" applyFont="1" applyBorder="1" applyAlignment="1">
      <alignment vertical="center"/>
    </xf>
    <xf numFmtId="43" fontId="21" fillId="0" borderId="28" xfId="2044" applyFont="1" applyFill="1" applyBorder="1" applyAlignment="1">
      <alignment horizontal="center" vertical="center"/>
    </xf>
    <xf numFmtId="43" fontId="21" fillId="98" borderId="28" xfId="2044" applyFont="1" applyFill="1" applyBorder="1" applyAlignment="1">
      <alignment horizontal="center" vertical="center"/>
    </xf>
    <xf numFmtId="43" fontId="103" fillId="0" borderId="28" xfId="2044" applyFont="1" applyBorder="1" applyAlignment="1">
      <alignment vertical="center"/>
    </xf>
    <xf numFmtId="9" fontId="103" fillId="0" borderId="28" xfId="1000" applyNumberFormat="1" applyFont="1" applyBorder="1" applyAlignment="1">
      <alignment horizontal="center" vertical="center"/>
    </xf>
    <xf numFmtId="10" fontId="103" fillId="0" borderId="28" xfId="1000" applyNumberFormat="1" applyFont="1" applyBorder="1" applyAlignment="1">
      <alignment vertical="center"/>
    </xf>
    <xf numFmtId="4" fontId="103" fillId="0" borderId="37" xfId="839" applyNumberFormat="1" applyFont="1" applyBorder="1" applyAlignment="1">
      <alignment vertical="center"/>
      <protection/>
    </xf>
    <xf numFmtId="0" fontId="81" fillId="0" borderId="0" xfId="839" applyFont="1">
      <alignment/>
      <protection/>
    </xf>
    <xf numFmtId="10" fontId="110" fillId="0" borderId="0" xfId="1000" applyNumberFormat="1" applyFont="1" applyAlignment="1">
      <alignment/>
    </xf>
    <xf numFmtId="10" fontId="110" fillId="0" borderId="28" xfId="1000" applyNumberFormat="1" applyFont="1" applyBorder="1" applyAlignment="1">
      <alignment vertical="center"/>
    </xf>
    <xf numFmtId="0" fontId="81" fillId="0" borderId="0" xfId="839" applyFont="1" applyAlignment="1">
      <alignment horizontal="center" vertical="center"/>
      <protection/>
    </xf>
    <xf numFmtId="10" fontId="110" fillId="0" borderId="28" xfId="1000" applyNumberFormat="1" applyFont="1" applyBorder="1" applyAlignment="1">
      <alignment horizontal="center" vertical="center"/>
    </xf>
    <xf numFmtId="10" fontId="21" fillId="0" borderId="28" xfId="1000" applyNumberFormat="1" applyFont="1" applyFill="1" applyBorder="1" applyAlignment="1">
      <alignment vertical="center"/>
    </xf>
    <xf numFmtId="4" fontId="81" fillId="0" borderId="0" xfId="839" applyNumberFormat="1" applyFont="1">
      <alignment/>
      <protection/>
    </xf>
    <xf numFmtId="43" fontId="1" fillId="98" borderId="28" xfId="2044" applyFont="1" applyFill="1" applyBorder="1" applyAlignment="1">
      <alignment horizontal="center" vertical="center"/>
    </xf>
    <xf numFmtId="43" fontId="1" fillId="0" borderId="28" xfId="2044" applyFont="1" applyFill="1" applyBorder="1" applyAlignment="1">
      <alignment horizontal="center" vertical="center"/>
    </xf>
    <xf numFmtId="167" fontId="63" fillId="0" borderId="0" xfId="2341" applyNumberFormat="1" applyFont="1" applyAlignment="1">
      <alignment/>
    </xf>
    <xf numFmtId="10" fontId="81" fillId="0" borderId="28" xfId="1000" applyNumberFormat="1" applyFont="1" applyBorder="1" applyAlignment="1">
      <alignment vertical="center"/>
    </xf>
    <xf numFmtId="0" fontId="81" fillId="0" borderId="0" xfId="839" applyFont="1" applyBorder="1">
      <alignment/>
      <protection/>
    </xf>
    <xf numFmtId="10" fontId="110" fillId="0" borderId="0" xfId="1000" applyNumberFormat="1" applyFont="1" applyBorder="1" applyAlignment="1">
      <alignment/>
    </xf>
    <xf numFmtId="0" fontId="1" fillId="0" borderId="0" xfId="918" applyFont="1">
      <alignment/>
      <protection/>
    </xf>
    <xf numFmtId="0" fontId="62" fillId="0" borderId="0" xfId="918" applyFont="1" applyAlignment="1">
      <alignment vertical="center"/>
      <protection/>
    </xf>
    <xf numFmtId="0" fontId="64" fillId="97" borderId="0" xfId="918" applyFont="1" applyFill="1" applyBorder="1">
      <alignment/>
      <protection/>
    </xf>
    <xf numFmtId="0" fontId="65" fillId="97" borderId="0" xfId="838" applyFont="1" applyFill="1" applyBorder="1" applyAlignment="1">
      <alignment horizontal="center" vertical="center"/>
      <protection/>
    </xf>
    <xf numFmtId="0" fontId="66" fillId="97" borderId="0" xfId="838" applyFont="1" applyFill="1" applyBorder="1" applyAlignment="1">
      <alignment horizontal="center" vertical="center"/>
      <protection/>
    </xf>
    <xf numFmtId="0" fontId="1" fillId="0" borderId="0" xfId="918" applyFont="1" applyAlignment="1">
      <alignment vertical="center"/>
      <protection/>
    </xf>
    <xf numFmtId="168" fontId="1" fillId="0" borderId="0" xfId="918" applyNumberFormat="1" applyFont="1" applyAlignment="1">
      <alignment horizontal="left" vertical="center"/>
      <protection/>
    </xf>
    <xf numFmtId="0" fontId="5" fillId="0" borderId="0" xfId="918" applyFont="1" applyFill="1" applyAlignment="1">
      <alignment horizontal="center" vertical="center"/>
      <protection/>
    </xf>
    <xf numFmtId="0" fontId="1" fillId="0" borderId="0" xfId="918" applyFont="1" applyAlignment="1">
      <alignment horizontal="left" vertical="center"/>
      <protection/>
    </xf>
    <xf numFmtId="0" fontId="110" fillId="0" borderId="0" xfId="0" applyFont="1" applyFill="1" applyBorder="1" applyAlignment="1">
      <alignment horizontal="left" vertical="center"/>
    </xf>
    <xf numFmtId="0" fontId="110" fillId="0" borderId="0" xfId="0" applyFont="1" applyFill="1" applyBorder="1" applyAlignment="1">
      <alignment horizontal="left" vertical="center" wrapText="1"/>
    </xf>
    <xf numFmtId="0" fontId="110" fillId="0" borderId="0" xfId="0" applyFont="1" applyFill="1" applyBorder="1" applyAlignment="1">
      <alignment horizontal="left" vertical="top"/>
    </xf>
    <xf numFmtId="0" fontId="111" fillId="0" borderId="0" xfId="841" applyFont="1" applyFill="1" applyBorder="1" applyAlignment="1" applyProtection="1">
      <alignment horizontal="center" vertical="center"/>
      <protection/>
    </xf>
    <xf numFmtId="2" fontId="112" fillId="27" borderId="28" xfId="0" applyNumberFormat="1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 applyProtection="1">
      <alignment horizontal="right" vertical="center" wrapText="1"/>
      <protection/>
    </xf>
    <xf numFmtId="2" fontId="21" fillId="0" borderId="0" xfId="0" applyNumberFormat="1" applyFont="1" applyFill="1" applyBorder="1" applyAlignment="1" applyProtection="1">
      <alignment horizontal="center" vertical="center"/>
      <protection/>
    </xf>
    <xf numFmtId="2" fontId="21" fillId="0" borderId="0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horizontal="right" vertical="center" wrapText="1"/>
      <protection/>
    </xf>
    <xf numFmtId="2" fontId="21" fillId="0" borderId="0" xfId="0" applyNumberFormat="1" applyFont="1" applyFill="1" applyBorder="1" applyAlignment="1" applyProtection="1">
      <alignment horizontal="center" vertical="center"/>
      <protection/>
    </xf>
    <xf numFmtId="2" fontId="21" fillId="0" borderId="0" xfId="0" applyNumberFormat="1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21" fillId="0" borderId="0" xfId="0" applyFont="1" applyFill="1" applyAlignment="1" applyProtection="1">
      <alignment/>
      <protection hidden="1"/>
    </xf>
    <xf numFmtId="10" fontId="110" fillId="0" borderId="28" xfId="1000" applyNumberFormat="1" applyFont="1" applyBorder="1" applyAlignment="1">
      <alignment horizontal="center" vertical="center"/>
    </xf>
    <xf numFmtId="43" fontId="21" fillId="0" borderId="28" xfId="2044" applyFont="1" applyFill="1" applyBorder="1" applyAlignment="1">
      <alignment horizontal="center" vertical="center"/>
    </xf>
    <xf numFmtId="168" fontId="1" fillId="0" borderId="0" xfId="918" applyNumberFormat="1" applyFont="1" applyAlignment="1">
      <alignment horizontal="left" vertical="center"/>
      <protection/>
    </xf>
    <xf numFmtId="0" fontId="1" fillId="0" borderId="0" xfId="918" applyFont="1" applyAlignment="1">
      <alignment horizontal="left" vertical="center"/>
      <protection/>
    </xf>
    <xf numFmtId="0" fontId="66" fillId="0" borderId="0" xfId="838" applyFont="1" applyFill="1" applyBorder="1" applyAlignment="1">
      <alignment vertical="center"/>
      <protection/>
    </xf>
    <xf numFmtId="0" fontId="81" fillId="0" borderId="0" xfId="839" applyFont="1" applyFill="1" applyBorder="1">
      <alignment/>
      <protection/>
    </xf>
    <xf numFmtId="10" fontId="110" fillId="0" borderId="0" xfId="1000" applyNumberFormat="1" applyFont="1" applyFill="1" applyBorder="1" applyAlignment="1">
      <alignment/>
    </xf>
    <xf numFmtId="0" fontId="66" fillId="27" borderId="28" xfId="846" applyFont="1" applyFill="1" applyBorder="1" applyAlignment="1" applyProtection="1">
      <alignment horizontal="center" vertical="center"/>
      <protection/>
    </xf>
    <xf numFmtId="0" fontId="111" fillId="27" borderId="28" xfId="841" applyFont="1" applyFill="1" applyBorder="1" applyAlignment="1" applyProtection="1">
      <alignment horizontal="center" vertical="center"/>
      <protection/>
    </xf>
    <xf numFmtId="10" fontId="63" fillId="27" borderId="28" xfId="846" applyNumberFormat="1" applyFont="1" applyFill="1" applyBorder="1" applyAlignment="1" applyProtection="1">
      <alignment horizontal="center" vertical="center"/>
      <protection/>
    </xf>
    <xf numFmtId="0" fontId="66" fillId="23" borderId="28" xfId="846" applyFont="1" applyFill="1" applyBorder="1" applyAlignment="1" applyProtection="1">
      <alignment horizontal="center" vertical="center"/>
      <protection/>
    </xf>
    <xf numFmtId="10" fontId="63" fillId="23" borderId="28" xfId="846" applyNumberFormat="1" applyFont="1" applyFill="1" applyBorder="1" applyAlignment="1" applyProtection="1">
      <alignment horizontal="center" vertical="center"/>
      <protection/>
    </xf>
    <xf numFmtId="0" fontId="66" fillId="0" borderId="0" xfId="846" applyFont="1" applyFill="1" applyBorder="1" applyAlignment="1" applyProtection="1">
      <alignment horizontal="center" vertical="center"/>
      <protection/>
    </xf>
    <xf numFmtId="10" fontId="63" fillId="0" borderId="0" xfId="846" applyNumberFormat="1" applyFont="1" applyFill="1" applyBorder="1" applyAlignment="1" applyProtection="1">
      <alignment horizontal="center" vertical="center"/>
      <protection/>
    </xf>
    <xf numFmtId="0" fontId="66" fillId="0" borderId="28" xfId="846" applyFont="1" applyFill="1" applyBorder="1" applyAlignment="1" applyProtection="1">
      <alignment horizontal="center" vertical="center"/>
      <protection/>
    </xf>
    <xf numFmtId="10" fontId="63" fillId="0" borderId="28" xfId="846" applyNumberFormat="1" applyFont="1" applyFill="1" applyBorder="1" applyAlignment="1" applyProtection="1">
      <alignment horizontal="center" vertical="center"/>
      <protection/>
    </xf>
    <xf numFmtId="0" fontId="66" fillId="0" borderId="28" xfId="918" applyFont="1" applyFill="1" applyBorder="1" applyAlignment="1" applyProtection="1">
      <alignment horizontal="center" vertical="center"/>
      <protection hidden="1"/>
    </xf>
    <xf numFmtId="0" fontId="63" fillId="0" borderId="28" xfId="0" applyFont="1" applyFill="1" applyBorder="1" applyAlignment="1" applyProtection="1">
      <alignment horizontal="center" vertical="center"/>
      <protection hidden="1"/>
    </xf>
    <xf numFmtId="2" fontId="112" fillId="23" borderId="28" xfId="0" applyNumberFormat="1" applyFont="1" applyFill="1" applyBorder="1" applyAlignment="1">
      <alignment horizontal="center" vertical="center"/>
    </xf>
    <xf numFmtId="0" fontId="113" fillId="99" borderId="38" xfId="0" applyFont="1" applyFill="1" applyBorder="1" applyAlignment="1">
      <alignment vertical="center" wrapText="1"/>
    </xf>
    <xf numFmtId="0" fontId="113" fillId="99" borderId="39" xfId="0" applyFont="1" applyFill="1" applyBorder="1" applyAlignment="1">
      <alignment vertical="center" wrapText="1"/>
    </xf>
    <xf numFmtId="0" fontId="113" fillId="99" borderId="40" xfId="0" applyFont="1" applyFill="1" applyBorder="1" applyAlignment="1">
      <alignment horizontal="center" vertical="center" wrapText="1"/>
    </xf>
    <xf numFmtId="0" fontId="113" fillId="99" borderId="41" xfId="0" applyFont="1" applyFill="1" applyBorder="1" applyAlignment="1">
      <alignment horizontal="center" vertical="center" wrapText="1"/>
    </xf>
    <xf numFmtId="0" fontId="113" fillId="99" borderId="42" xfId="0" applyFont="1" applyFill="1" applyBorder="1" applyAlignment="1">
      <alignment horizontal="center" vertical="center" wrapText="1"/>
    </xf>
    <xf numFmtId="0" fontId="113" fillId="99" borderId="43" xfId="0" applyFont="1" applyFill="1" applyBorder="1" applyAlignment="1">
      <alignment horizontal="center" vertical="center" wrapText="1"/>
    </xf>
    <xf numFmtId="0" fontId="113" fillId="99" borderId="44" xfId="0" applyFont="1" applyFill="1" applyBorder="1" applyAlignment="1">
      <alignment horizontal="center" vertical="center" wrapText="1"/>
    </xf>
    <xf numFmtId="0" fontId="113" fillId="99" borderId="45" xfId="0" applyFont="1" applyFill="1" applyBorder="1" applyAlignment="1">
      <alignment horizontal="center" vertical="center" wrapText="1"/>
    </xf>
    <xf numFmtId="0" fontId="113" fillId="99" borderId="3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/>
    </xf>
    <xf numFmtId="0" fontId="114" fillId="100" borderId="46" xfId="0" applyFont="1" applyFill="1" applyBorder="1" applyAlignment="1">
      <alignment horizontal="center" vertical="center" wrapText="1"/>
    </xf>
    <xf numFmtId="0" fontId="24" fillId="0" borderId="47" xfId="0" applyFont="1" applyBorder="1" applyAlignment="1" quotePrefix="1">
      <alignment vertical="center"/>
    </xf>
    <xf numFmtId="0" fontId="24" fillId="0" borderId="37" xfId="0" applyFont="1" applyBorder="1" applyAlignment="1" quotePrefix="1">
      <alignment vertical="center"/>
    </xf>
    <xf numFmtId="49" fontId="26" fillId="97" borderId="47" xfId="0" applyNumberFormat="1" applyFont="1" applyFill="1" applyBorder="1" applyAlignment="1" applyProtection="1" quotePrefix="1">
      <alignment vertical="center"/>
      <protection hidden="1"/>
    </xf>
    <xf numFmtId="49" fontId="26" fillId="97" borderId="48" xfId="0" applyNumberFormat="1" applyFont="1" applyFill="1" applyBorder="1" applyAlignment="1" applyProtection="1" quotePrefix="1">
      <alignment vertical="center"/>
      <protection hidden="1"/>
    </xf>
    <xf numFmtId="0" fontId="24" fillId="0" borderId="47" xfId="0" applyFont="1" applyBorder="1" applyAlignment="1">
      <alignment vertical="center"/>
    </xf>
    <xf numFmtId="0" fontId="24" fillId="0" borderId="37" xfId="0" applyFont="1" applyBorder="1" applyAlignment="1">
      <alignment vertical="center"/>
    </xf>
    <xf numFmtId="49" fontId="26" fillId="97" borderId="47" xfId="0" applyNumberFormat="1" applyFont="1" applyFill="1" applyBorder="1" applyAlignment="1" applyProtection="1">
      <alignment vertical="center"/>
      <protection hidden="1"/>
    </xf>
    <xf numFmtId="49" fontId="26" fillId="97" borderId="48" xfId="0" applyNumberFormat="1" applyFont="1" applyFill="1" applyBorder="1" applyAlignment="1" applyProtection="1">
      <alignment vertical="center"/>
      <protection hidden="1"/>
    </xf>
    <xf numFmtId="0" fontId="3" fillId="0" borderId="28" xfId="0" applyFont="1" applyFill="1" applyBorder="1" applyAlignment="1">
      <alignment vertical="center" wrapText="1"/>
    </xf>
    <xf numFmtId="0" fontId="115" fillId="97" borderId="28" xfId="898" applyFont="1" applyFill="1" applyBorder="1" applyAlignment="1" applyProtection="1">
      <alignment vertical="center" wrapText="1"/>
      <protection/>
    </xf>
    <xf numFmtId="0" fontId="25" fillId="101" borderId="28" xfId="0" applyFont="1" applyFill="1" applyBorder="1" applyAlignment="1">
      <alignment vertical="center" wrapText="1"/>
    </xf>
    <xf numFmtId="0" fontId="3" fillId="97" borderId="28" xfId="0" applyFont="1" applyFill="1" applyBorder="1" applyAlignment="1" applyProtection="1">
      <alignment vertical="center" wrapText="1"/>
      <protection/>
    </xf>
    <xf numFmtId="0" fontId="3" fillId="97" borderId="28" xfId="0" applyFont="1" applyFill="1" applyBorder="1" applyAlignment="1" applyProtection="1" quotePrefix="1">
      <alignment vertical="center" wrapText="1"/>
      <protection/>
    </xf>
    <xf numFmtId="0" fontId="3" fillId="0" borderId="28" xfId="0" applyFont="1" applyFill="1" applyBorder="1" applyAlignment="1" applyProtection="1">
      <alignment vertical="center" wrapText="1"/>
      <protection/>
    </xf>
    <xf numFmtId="0" fontId="3" fillId="97" borderId="28" xfId="898" applyFont="1" applyFill="1" applyBorder="1" applyAlignment="1" applyProtection="1">
      <alignment vertical="center" wrapText="1"/>
      <protection/>
    </xf>
    <xf numFmtId="0" fontId="3" fillId="102" borderId="28" xfId="0" applyFont="1" applyFill="1" applyBorder="1" applyAlignment="1">
      <alignment vertical="center" wrapText="1"/>
    </xf>
    <xf numFmtId="0" fontId="25" fillId="103" borderId="28" xfId="830" applyFont="1" applyFill="1" applyBorder="1" applyAlignment="1">
      <alignment vertical="center"/>
      <protection/>
    </xf>
    <xf numFmtId="0" fontId="3" fillId="97" borderId="28" xfId="0" applyFont="1" applyFill="1" applyBorder="1" applyAlignment="1">
      <alignment vertical="center" wrapText="1"/>
    </xf>
    <xf numFmtId="0" fontId="115" fillId="0" borderId="28" xfId="898" applyFont="1" applyFill="1" applyBorder="1" applyAlignment="1" applyProtection="1">
      <alignment vertical="center" wrapText="1"/>
      <protection/>
    </xf>
    <xf numFmtId="0" fontId="3" fillId="0" borderId="28" xfId="0" applyFont="1" applyFill="1" applyBorder="1" applyAlignment="1" applyProtection="1">
      <alignment vertical="center" wrapText="1"/>
      <protection locked="0"/>
    </xf>
    <xf numFmtId="0" fontId="3" fillId="97" borderId="28" xfId="956" applyFont="1" applyFill="1" applyBorder="1" applyAlignment="1">
      <alignment vertical="center" wrapText="1"/>
      <protection/>
    </xf>
    <xf numFmtId="0" fontId="3" fillId="0" borderId="28" xfId="898" applyFont="1" applyFill="1" applyBorder="1" applyAlignment="1" applyProtection="1" quotePrefix="1">
      <alignment vertical="center" wrapText="1"/>
      <protection/>
    </xf>
    <xf numFmtId="0" fontId="3" fillId="97" borderId="28" xfId="0" applyFont="1" applyFill="1" applyBorder="1" applyAlignment="1" quotePrefix="1">
      <alignment vertical="center" wrapText="1"/>
    </xf>
    <xf numFmtId="0" fontId="3" fillId="0" borderId="28" xfId="956" applyFont="1" applyFill="1" applyBorder="1" applyAlignment="1">
      <alignment vertical="center" wrapText="1"/>
      <protection/>
    </xf>
    <xf numFmtId="0" fontId="3" fillId="97" borderId="28" xfId="0" applyFont="1" applyFill="1" applyBorder="1" applyAlignment="1">
      <alignment vertical="center"/>
    </xf>
    <xf numFmtId="0" fontId="116" fillId="100" borderId="28" xfId="0" applyFont="1" applyFill="1" applyBorder="1" applyAlignment="1">
      <alignment vertical="center" wrapText="1"/>
    </xf>
    <xf numFmtId="0" fontId="117" fillId="100" borderId="28" xfId="0" applyFont="1" applyFill="1" applyBorder="1" applyAlignment="1">
      <alignment vertical="center" wrapText="1"/>
    </xf>
    <xf numFmtId="43" fontId="116" fillId="100" borderId="28" xfId="2043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25" fillId="102" borderId="28" xfId="0" applyFont="1" applyFill="1" applyBorder="1" applyAlignment="1">
      <alignment vertical="center" wrapText="1"/>
    </xf>
    <xf numFmtId="0" fontId="26" fillId="0" borderId="0" xfId="0" applyFont="1" applyFill="1" applyBorder="1" applyAlignment="1" quotePrefix="1">
      <alignment vertical="center"/>
    </xf>
    <xf numFmtId="4" fontId="25" fillId="0" borderId="32" xfId="898" applyNumberFormat="1" applyFont="1" applyBorder="1" applyAlignment="1" applyProtection="1">
      <alignment vertical="top"/>
      <protection/>
    </xf>
    <xf numFmtId="4" fontId="3" fillId="0" borderId="0" xfId="898" applyNumberFormat="1" applyFont="1" applyBorder="1" applyAlignment="1" applyProtection="1">
      <alignment vertical="center"/>
      <protection/>
    </xf>
    <xf numFmtId="4" fontId="3" fillId="0" borderId="0" xfId="898" applyNumberFormat="1" applyFont="1" applyBorder="1" applyAlignment="1" applyProtection="1">
      <alignment horizontal="center" vertical="center"/>
      <protection/>
    </xf>
    <xf numFmtId="0" fontId="3" fillId="0" borderId="0" xfId="898" applyFont="1" applyBorder="1" applyAlignment="1" applyProtection="1">
      <alignment vertical="center"/>
      <protection/>
    </xf>
    <xf numFmtId="0" fontId="25" fillId="102" borderId="47" xfId="887" applyFont="1" applyFill="1" applyBorder="1" applyAlignment="1" applyProtection="1">
      <alignment vertical="center"/>
      <protection/>
    </xf>
    <xf numFmtId="0" fontId="25" fillId="102" borderId="37" xfId="887" applyFont="1" applyFill="1" applyBorder="1" applyAlignment="1" applyProtection="1">
      <alignment vertical="center"/>
      <protection/>
    </xf>
    <xf numFmtId="0" fontId="25" fillId="102" borderId="48" xfId="887" applyFont="1" applyFill="1" applyBorder="1" applyAlignment="1" applyProtection="1">
      <alignment vertical="center"/>
      <protection/>
    </xf>
    <xf numFmtId="0" fontId="25" fillId="0" borderId="29" xfId="887" applyFont="1" applyFill="1" applyBorder="1" applyAlignment="1" applyProtection="1">
      <alignment horizontal="center" vertical="center" wrapText="1"/>
      <protection locked="0"/>
    </xf>
    <xf numFmtId="0" fontId="25" fillId="0" borderId="30" xfId="887" applyFont="1" applyFill="1" applyBorder="1" applyAlignment="1" applyProtection="1">
      <alignment vertical="center" wrapText="1"/>
      <protection locked="0"/>
    </xf>
    <xf numFmtId="0" fontId="25" fillId="0" borderId="31" xfId="887" applyFont="1" applyFill="1" applyBorder="1" applyAlignment="1" applyProtection="1">
      <alignment vertical="center" wrapText="1"/>
      <protection locked="0"/>
    </xf>
    <xf numFmtId="0" fontId="25" fillId="0" borderId="29" xfId="887" applyFont="1" applyFill="1" applyBorder="1" applyAlignment="1" applyProtection="1">
      <alignment vertical="center" wrapText="1"/>
      <protection locked="0"/>
    </xf>
    <xf numFmtId="0" fontId="25" fillId="0" borderId="29" xfId="898" applyFont="1" applyFill="1" applyBorder="1" applyAlignment="1" applyProtection="1">
      <alignment vertical="center" wrapText="1"/>
      <protection/>
    </xf>
    <xf numFmtId="0" fontId="25" fillId="0" borderId="34" xfId="887" applyFont="1" applyFill="1" applyBorder="1" applyAlignment="1" applyProtection="1">
      <alignment horizontal="center" vertical="center" wrapText="1"/>
      <protection locked="0"/>
    </xf>
    <xf numFmtId="0" fontId="25" fillId="0" borderId="35" xfId="887" applyFont="1" applyFill="1" applyBorder="1" applyAlignment="1" applyProtection="1">
      <alignment vertical="center" wrapText="1"/>
      <protection locked="0"/>
    </xf>
    <xf numFmtId="0" fontId="25" fillId="0" borderId="36" xfId="887" applyFont="1" applyFill="1" applyBorder="1" applyAlignment="1" applyProtection="1">
      <alignment vertical="center" wrapText="1"/>
      <protection locked="0"/>
    </xf>
    <xf numFmtId="0" fontId="25" fillId="0" borderId="34" xfId="887" applyFont="1" applyFill="1" applyBorder="1" applyAlignment="1" applyProtection="1">
      <alignment vertical="center" wrapText="1"/>
      <protection locked="0"/>
    </xf>
    <xf numFmtId="0" fontId="25" fillId="0" borderId="34" xfId="898" applyFont="1" applyFill="1" applyBorder="1" applyAlignment="1" applyProtection="1">
      <alignment vertical="center" wrapText="1"/>
      <protection/>
    </xf>
    <xf numFmtId="0" fontId="25" fillId="0" borderId="32" xfId="887" applyFont="1" applyFill="1" applyBorder="1" applyAlignment="1" applyProtection="1">
      <alignment horizontal="left" vertical="center" wrapText="1"/>
      <protection locked="0"/>
    </xf>
    <xf numFmtId="0" fontId="25" fillId="0" borderId="33" xfId="887" applyFont="1" applyFill="1" applyBorder="1" applyAlignment="1" applyProtection="1">
      <alignment horizontal="left" vertical="center" wrapText="1"/>
      <protection locked="0"/>
    </xf>
    <xf numFmtId="0" fontId="25" fillId="0" borderId="32" xfId="887" applyFont="1" applyFill="1" applyBorder="1" applyAlignment="1" applyProtection="1">
      <alignment horizontal="center" vertical="center" wrapText="1"/>
      <protection locked="0"/>
    </xf>
    <xf numFmtId="0" fontId="25" fillId="0" borderId="0" xfId="887" applyFont="1" applyFill="1" applyBorder="1" applyAlignment="1" applyProtection="1">
      <alignment vertical="center" wrapText="1"/>
      <protection locked="0"/>
    </xf>
    <xf numFmtId="0" fontId="25" fillId="0" borderId="33" xfId="887" applyFont="1" applyFill="1" applyBorder="1" applyAlignment="1" applyProtection="1">
      <alignment vertical="center" wrapText="1"/>
      <protection locked="0"/>
    </xf>
    <xf numFmtId="0" fontId="25" fillId="0" borderId="32" xfId="887" applyFont="1" applyFill="1" applyBorder="1" applyAlignment="1" applyProtection="1">
      <alignment vertical="center" wrapText="1"/>
      <protection locked="0"/>
    </xf>
    <xf numFmtId="0" fontId="25" fillId="0" borderId="32" xfId="898" applyFont="1" applyFill="1" applyBorder="1" applyAlignment="1" applyProtection="1">
      <alignment vertical="center" wrapText="1"/>
      <protection/>
    </xf>
    <xf numFmtId="0" fontId="25" fillId="0" borderId="0" xfId="898" applyFont="1" applyFill="1" applyBorder="1" applyAlignment="1" applyProtection="1">
      <alignment vertical="center" wrapText="1"/>
      <protection/>
    </xf>
    <xf numFmtId="10" fontId="0" fillId="0" borderId="0" xfId="999" applyNumberFormat="1" applyFont="1" applyFill="1" applyBorder="1" applyAlignment="1">
      <alignment vertical="center" wrapText="1"/>
    </xf>
    <xf numFmtId="10" fontId="3" fillId="0" borderId="0" xfId="999" applyNumberFormat="1" applyFont="1" applyBorder="1" applyAlignment="1" applyProtection="1">
      <alignment vertical="center"/>
      <protection/>
    </xf>
    <xf numFmtId="10" fontId="0" fillId="0" borderId="0" xfId="999" applyNumberFormat="1" applyFont="1" applyFill="1" applyBorder="1" applyAlignment="1">
      <alignment horizontal="left" vertical="center"/>
    </xf>
    <xf numFmtId="0" fontId="25" fillId="0" borderId="35" xfId="898" applyFont="1" applyFill="1" applyBorder="1" applyAlignment="1" applyProtection="1">
      <alignment vertical="center" wrapText="1"/>
      <protection/>
    </xf>
    <xf numFmtId="0" fontId="21" fillId="0" borderId="0" xfId="0" applyFont="1" applyFill="1" applyBorder="1" applyAlignment="1" applyProtection="1">
      <alignment horizontal="left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115" fillId="0" borderId="0" xfId="849" applyFont="1">
      <alignment/>
      <protection/>
    </xf>
    <xf numFmtId="0" fontId="118" fillId="0" borderId="49" xfId="849" applyFont="1" applyBorder="1" applyAlignment="1">
      <alignment horizontal="left" vertical="top" wrapText="1"/>
      <protection/>
    </xf>
    <xf numFmtId="3" fontId="118" fillId="0" borderId="50" xfId="849" applyNumberFormat="1" applyFont="1" applyBorder="1" applyAlignment="1">
      <alignment horizontal="left" vertical="top" wrapText="1"/>
      <protection/>
    </xf>
    <xf numFmtId="0" fontId="115" fillId="0" borderId="50" xfId="849" applyFont="1" applyBorder="1" applyAlignment="1">
      <alignment horizontal="left" vertical="top" wrapText="1"/>
      <protection/>
    </xf>
    <xf numFmtId="0" fontId="118" fillId="0" borderId="51" xfId="849" applyFont="1" applyBorder="1" applyAlignment="1">
      <alignment horizontal="center" vertical="top" wrapText="1"/>
      <protection/>
    </xf>
    <xf numFmtId="0" fontId="115" fillId="0" borderId="50" xfId="849" applyFont="1" applyBorder="1" applyAlignment="1">
      <alignment horizontal="right" vertical="top" wrapText="1"/>
      <protection/>
    </xf>
    <xf numFmtId="0" fontId="115" fillId="0" borderId="51" xfId="849" applyFont="1" applyBorder="1" applyAlignment="1">
      <alignment horizontal="left" vertical="top" wrapText="1"/>
      <protection/>
    </xf>
    <xf numFmtId="0" fontId="115" fillId="0" borderId="51" xfId="849" applyFont="1" applyBorder="1" applyAlignment="1">
      <alignment horizontal="center" vertical="top" wrapText="1"/>
      <protection/>
    </xf>
    <xf numFmtId="0" fontId="118" fillId="0" borderId="50" xfId="849" applyFont="1" applyBorder="1" applyAlignment="1">
      <alignment horizontal="left" vertical="top" wrapText="1"/>
      <protection/>
    </xf>
    <xf numFmtId="0" fontId="115" fillId="0" borderId="0" xfId="849" applyFont="1" applyFill="1">
      <alignment/>
      <protection/>
    </xf>
    <xf numFmtId="0" fontId="118" fillId="0" borderId="52" xfId="849" applyFont="1" applyBorder="1" applyAlignment="1">
      <alignment vertical="top" wrapText="1"/>
      <protection/>
    </xf>
    <xf numFmtId="0" fontId="118" fillId="0" borderId="53" xfId="849" applyFont="1" applyBorder="1" applyAlignment="1">
      <alignment vertical="top" wrapText="1"/>
      <protection/>
    </xf>
    <xf numFmtId="43" fontId="21" fillId="0" borderId="28" xfId="2044" applyFont="1" applyFill="1" applyBorder="1" applyAlignment="1">
      <alignment horizontal="center" vertical="center"/>
    </xf>
    <xf numFmtId="0" fontId="114" fillId="100" borderId="45" xfId="0" applyFont="1" applyFill="1" applyBorder="1" applyAlignment="1">
      <alignment horizontal="center" vertical="center" wrapText="1"/>
    </xf>
    <xf numFmtId="0" fontId="118" fillId="0" borderId="51" xfId="849" applyFont="1" applyBorder="1" applyAlignment="1">
      <alignment horizontal="left" vertical="top" wrapText="1"/>
      <protection/>
    </xf>
    <xf numFmtId="0" fontId="115" fillId="0" borderId="50" xfId="849" applyFont="1" applyBorder="1" applyAlignment="1">
      <alignment vertical="top" wrapText="1"/>
      <protection/>
    </xf>
    <xf numFmtId="0" fontId="115" fillId="104" borderId="52" xfId="849" applyFont="1" applyFill="1" applyBorder="1" applyAlignment="1">
      <alignment horizontal="right" vertical="top"/>
      <protection/>
    </xf>
    <xf numFmtId="0" fontId="115" fillId="104" borderId="53" xfId="849" applyFont="1" applyFill="1" applyBorder="1" applyAlignment="1">
      <alignment horizontal="right" vertical="top"/>
      <protection/>
    </xf>
    <xf numFmtId="0" fontId="115" fillId="0" borderId="0" xfId="0" applyFont="1" applyFill="1" applyBorder="1" applyAlignment="1">
      <alignment horizontal="left" vertical="center" wrapText="1"/>
    </xf>
    <xf numFmtId="0" fontId="25" fillId="102" borderId="48" xfId="898" applyFont="1" applyFill="1" applyBorder="1" applyAlignment="1" applyProtection="1">
      <alignment vertical="center"/>
      <protection/>
    </xf>
    <xf numFmtId="0" fontId="25" fillId="0" borderId="30" xfId="898" applyFont="1" applyFill="1" applyBorder="1" applyAlignment="1" applyProtection="1">
      <alignment vertical="center" wrapText="1"/>
      <protection/>
    </xf>
    <xf numFmtId="10" fontId="25" fillId="0" borderId="31" xfId="999" applyNumberFormat="1" applyFont="1" applyFill="1" applyBorder="1" applyAlignment="1" applyProtection="1">
      <alignment vertical="center" wrapText="1"/>
      <protection/>
    </xf>
    <xf numFmtId="10" fontId="25" fillId="0" borderId="33" xfId="999" applyNumberFormat="1" applyFont="1" applyFill="1" applyBorder="1" applyAlignment="1" applyProtection="1">
      <alignment vertical="center" wrapText="1"/>
      <protection/>
    </xf>
    <xf numFmtId="10" fontId="25" fillId="0" borderId="36" xfId="999" applyNumberFormat="1" applyFont="1" applyFill="1" applyBorder="1" applyAlignment="1" applyProtection="1">
      <alignment vertical="center" wrapText="1"/>
      <protection/>
    </xf>
    <xf numFmtId="10" fontId="81" fillId="0" borderId="0" xfId="839" applyNumberFormat="1" applyFont="1" applyAlignment="1">
      <alignment horizontal="center"/>
      <protection/>
    </xf>
    <xf numFmtId="10" fontId="62" fillId="0" borderId="28" xfId="1008" applyNumberFormat="1" applyFont="1" applyFill="1" applyBorder="1" applyAlignment="1" applyProtection="1">
      <alignment horizontal="center" vertical="center"/>
      <protection hidden="1"/>
    </xf>
    <xf numFmtId="49" fontId="26" fillId="97" borderId="28" xfId="0" applyNumberFormat="1" applyFont="1" applyFill="1" applyBorder="1" applyAlignment="1" applyProtection="1" quotePrefix="1">
      <alignment vertical="center"/>
      <protection hidden="1"/>
    </xf>
    <xf numFmtId="49" fontId="26" fillId="97" borderId="28" xfId="0" applyNumberFormat="1" applyFont="1" applyFill="1" applyBorder="1" applyAlignment="1" applyProtection="1">
      <alignment vertical="center"/>
      <protection hidden="1"/>
    </xf>
    <xf numFmtId="0" fontId="24" fillId="0" borderId="28" xfId="0" applyFont="1" applyBorder="1" applyAlignment="1" quotePrefix="1">
      <alignment horizontal="right" vertical="center"/>
    </xf>
    <xf numFmtId="0" fontId="24" fillId="0" borderId="28" xfId="0" applyFont="1" applyBorder="1" applyAlignment="1">
      <alignment horizontal="right" vertical="center"/>
    </xf>
    <xf numFmtId="0" fontId="25" fillId="102" borderId="28" xfId="887" applyFont="1" applyFill="1" applyBorder="1" applyAlignment="1" applyProtection="1">
      <alignment horizontal="center" vertical="center"/>
      <protection/>
    </xf>
    <xf numFmtId="0" fontId="25" fillId="0" borderId="54" xfId="887" applyFont="1" applyFill="1" applyBorder="1" applyAlignment="1" applyProtection="1">
      <alignment horizontal="center" vertical="center" wrapText="1"/>
      <protection locked="0"/>
    </xf>
    <xf numFmtId="0" fontId="25" fillId="0" borderId="46" xfId="887" applyFont="1" applyFill="1" applyBorder="1" applyAlignment="1" applyProtection="1">
      <alignment horizontal="center" vertical="center" wrapText="1"/>
      <protection locked="0"/>
    </xf>
    <xf numFmtId="0" fontId="25" fillId="0" borderId="55" xfId="887" applyFont="1" applyFill="1" applyBorder="1" applyAlignment="1" applyProtection="1">
      <alignment horizontal="center" vertical="center" wrapText="1"/>
      <protection locked="0"/>
    </xf>
    <xf numFmtId="0" fontId="1" fillId="0" borderId="29" xfId="918" applyFont="1" applyBorder="1">
      <alignment/>
      <protection/>
    </xf>
    <xf numFmtId="0" fontId="1" fillId="0" borderId="31" xfId="918" applyFont="1" applyBorder="1">
      <alignment/>
      <protection/>
    </xf>
    <xf numFmtId="0" fontId="1" fillId="0" borderId="32" xfId="918" applyFont="1" applyBorder="1">
      <alignment/>
      <protection/>
    </xf>
    <xf numFmtId="0" fontId="1" fillId="0" borderId="33" xfId="918" applyFont="1" applyBorder="1">
      <alignment/>
      <protection/>
    </xf>
    <xf numFmtId="0" fontId="1" fillId="0" borderId="34" xfId="918" applyFont="1" applyBorder="1">
      <alignment/>
      <protection/>
    </xf>
    <xf numFmtId="0" fontId="1" fillId="0" borderId="36" xfId="918" applyFont="1" applyBorder="1">
      <alignment/>
      <protection/>
    </xf>
    <xf numFmtId="0" fontId="1" fillId="0" borderId="54" xfId="918" applyFont="1" applyBorder="1">
      <alignment/>
      <protection/>
    </xf>
    <xf numFmtId="0" fontId="1" fillId="0" borderId="46" xfId="918" applyFont="1" applyBorder="1">
      <alignment/>
      <protection/>
    </xf>
    <xf numFmtId="0" fontId="1" fillId="0" borderId="55" xfId="918" applyFont="1" applyBorder="1">
      <alignment/>
      <protection/>
    </xf>
    <xf numFmtId="0" fontId="24" fillId="0" borderId="47" xfId="0" applyFont="1" applyBorder="1" applyAlignment="1" quotePrefix="1">
      <alignment vertical="center" wrapText="1"/>
    </xf>
    <xf numFmtId="0" fontId="24" fillId="0" borderId="47" xfId="0" applyFont="1" applyBorder="1" applyAlignment="1">
      <alignment vertical="center" wrapText="1"/>
    </xf>
    <xf numFmtId="0" fontId="104" fillId="0" borderId="0" xfId="0" applyFont="1" applyFill="1" applyBorder="1" applyAlignment="1" applyProtection="1">
      <alignment/>
      <protection/>
    </xf>
    <xf numFmtId="0" fontId="25" fillId="0" borderId="34" xfId="887" applyFont="1" applyFill="1" applyBorder="1" applyAlignment="1" applyProtection="1">
      <alignment vertical="top"/>
      <protection locked="0"/>
    </xf>
    <xf numFmtId="0" fontId="25" fillId="0" borderId="31" xfId="887" applyFont="1" applyFill="1" applyBorder="1" applyAlignment="1" applyProtection="1">
      <alignment horizontal="center" vertical="center" wrapText="1"/>
      <protection locked="0"/>
    </xf>
    <xf numFmtId="0" fontId="25" fillId="0" borderId="36" xfId="887" applyFont="1" applyFill="1" applyBorder="1" applyAlignment="1" applyProtection="1">
      <alignment horizontal="center" vertical="center" wrapText="1"/>
      <protection locked="0"/>
    </xf>
    <xf numFmtId="0" fontId="104" fillId="0" borderId="31" xfId="0" applyFont="1" applyBorder="1" applyAlignment="1" applyProtection="1">
      <alignment/>
      <protection/>
    </xf>
    <xf numFmtId="0" fontId="25" fillId="0" borderId="35" xfId="887" applyFont="1" applyFill="1" applyBorder="1" applyAlignment="1" applyProtection="1">
      <alignment vertical="top"/>
      <protection locked="0"/>
    </xf>
    <xf numFmtId="0" fontId="104" fillId="0" borderId="36" xfId="0" applyFont="1" applyBorder="1" applyAlignment="1" applyProtection="1">
      <alignment/>
      <protection/>
    </xf>
    <xf numFmtId="0" fontId="1" fillId="0" borderId="30" xfId="918" applyFont="1" applyBorder="1">
      <alignment/>
      <protection/>
    </xf>
    <xf numFmtId="0" fontId="104" fillId="0" borderId="31" xfId="0" applyFont="1" applyBorder="1" applyAlignment="1" applyProtection="1">
      <alignment vertical="center"/>
      <protection/>
    </xf>
    <xf numFmtId="0" fontId="1" fillId="0" borderId="35" xfId="918" applyFont="1" applyBorder="1">
      <alignment/>
      <protection/>
    </xf>
    <xf numFmtId="0" fontId="104" fillId="0" borderId="36" xfId="0" applyFont="1" applyBorder="1" applyAlignment="1" applyProtection="1">
      <alignment vertical="center"/>
      <protection/>
    </xf>
    <xf numFmtId="49" fontId="26" fillId="97" borderId="0" xfId="0" applyNumberFormat="1" applyFont="1" applyFill="1" applyBorder="1" applyAlignment="1" applyProtection="1">
      <alignment vertical="center"/>
      <protection hidden="1"/>
    </xf>
    <xf numFmtId="0" fontId="114" fillId="100" borderId="38" xfId="0" applyFont="1" applyFill="1" applyBorder="1" applyAlignment="1">
      <alignment vertical="center" wrapText="1"/>
    </xf>
    <xf numFmtId="0" fontId="114" fillId="100" borderId="56" xfId="0" applyFont="1" applyFill="1" applyBorder="1" applyAlignment="1">
      <alignment vertical="center" wrapText="1"/>
    </xf>
    <xf numFmtId="0" fontId="114" fillId="100" borderId="43" xfId="0" applyFont="1" applyFill="1" applyBorder="1" applyAlignment="1">
      <alignment horizontal="center" vertical="center" wrapText="1"/>
    </xf>
    <xf numFmtId="0" fontId="114" fillId="100" borderId="33" xfId="0" applyFont="1" applyFill="1" applyBorder="1" applyAlignment="1">
      <alignment horizontal="center" wrapText="1"/>
    </xf>
    <xf numFmtId="0" fontId="114" fillId="100" borderId="40" xfId="0" applyFont="1" applyFill="1" applyBorder="1" applyAlignment="1">
      <alignment horizontal="center" vertical="top" wrapText="1"/>
    </xf>
    <xf numFmtId="0" fontId="114" fillId="100" borderId="42" xfId="0" applyFont="1" applyFill="1" applyBorder="1" applyAlignment="1">
      <alignment horizontal="center" vertical="top" wrapText="1"/>
    </xf>
    <xf numFmtId="0" fontId="114" fillId="100" borderId="36" xfId="0" applyFont="1" applyFill="1" applyBorder="1" applyAlignment="1">
      <alignment horizontal="center" vertical="top" wrapText="1"/>
    </xf>
    <xf numFmtId="0" fontId="114" fillId="100" borderId="31" xfId="0" applyFont="1" applyFill="1" applyBorder="1" applyAlignment="1">
      <alignment vertical="center" wrapText="1"/>
    </xf>
    <xf numFmtId="0" fontId="114" fillId="100" borderId="54" xfId="0" applyFont="1" applyFill="1" applyBorder="1" applyAlignment="1">
      <alignment vertical="center" wrapText="1"/>
    </xf>
    <xf numFmtId="0" fontId="114" fillId="100" borderId="46" xfId="0" applyFont="1" applyFill="1" applyBorder="1" applyAlignment="1">
      <alignment horizontal="center" wrapText="1"/>
    </xf>
    <xf numFmtId="0" fontId="114" fillId="100" borderId="55" xfId="0" applyFont="1" applyFill="1" applyBorder="1" applyAlignment="1">
      <alignment horizontal="center" vertical="top" wrapText="1"/>
    </xf>
    <xf numFmtId="0" fontId="3" fillId="0" borderId="55" xfId="830" applyNumberFormat="1" applyFont="1" applyFill="1" applyBorder="1" applyAlignment="1">
      <alignment vertical="center"/>
      <protection/>
    </xf>
    <xf numFmtId="0" fontId="3" fillId="0" borderId="28" xfId="830" applyNumberFormat="1" applyFont="1" applyFill="1" applyBorder="1" applyAlignment="1">
      <alignment horizontal="left" vertical="center"/>
      <protection/>
    </xf>
    <xf numFmtId="0" fontId="3" fillId="0" borderId="28" xfId="830" applyFont="1" applyFill="1" applyBorder="1" applyAlignment="1">
      <alignment horizontal="justify" vertical="center"/>
      <protection/>
    </xf>
    <xf numFmtId="10" fontId="3" fillId="0" borderId="55" xfId="999" applyNumberFormat="1" applyFont="1" applyFill="1" applyBorder="1" applyAlignment="1">
      <alignment vertical="center" wrapText="1"/>
    </xf>
    <xf numFmtId="9" fontId="116" fillId="100" borderId="28" xfId="2043" applyNumberFormat="1" applyFont="1" applyFill="1" applyBorder="1" applyAlignment="1">
      <alignment vertical="center" wrapText="1"/>
    </xf>
    <xf numFmtId="0" fontId="115" fillId="0" borderId="53" xfId="849" applyFont="1" applyFill="1" applyBorder="1" applyAlignment="1">
      <alignment vertical="top" wrapText="1"/>
      <protection/>
    </xf>
    <xf numFmtId="0" fontId="25" fillId="102" borderId="37" xfId="887" applyFont="1" applyFill="1" applyBorder="1" applyAlignment="1" applyProtection="1">
      <alignment vertical="center"/>
      <protection/>
    </xf>
    <xf numFmtId="0" fontId="25" fillId="102" borderId="47" xfId="887" applyFont="1" applyFill="1" applyBorder="1" applyAlignment="1" applyProtection="1">
      <alignment vertical="center"/>
      <protection/>
    </xf>
    <xf numFmtId="4" fontId="25" fillId="0" borderId="0" xfId="898" applyNumberFormat="1" applyFont="1" applyBorder="1" applyAlignment="1" applyProtection="1">
      <alignment vertical="top"/>
      <protection/>
    </xf>
    <xf numFmtId="0" fontId="81" fillId="0" borderId="36" xfId="839" applyFont="1" applyBorder="1">
      <alignment/>
      <protection/>
    </xf>
    <xf numFmtId="0" fontId="81" fillId="0" borderId="34" xfId="839" applyFont="1" applyBorder="1">
      <alignment/>
      <protection/>
    </xf>
    <xf numFmtId="0" fontId="81" fillId="0" borderId="31" xfId="839" applyFont="1" applyBorder="1">
      <alignment/>
      <protection/>
    </xf>
    <xf numFmtId="0" fontId="81" fillId="0" borderId="29" xfId="839" applyFont="1" applyBorder="1">
      <alignment/>
      <protection/>
    </xf>
    <xf numFmtId="3" fontId="118" fillId="0" borderId="57" xfId="849" applyNumberFormat="1" applyFont="1" applyBorder="1" applyAlignment="1">
      <alignment horizontal="left" vertical="top" wrapText="1"/>
      <protection/>
    </xf>
    <xf numFmtId="0" fontId="118" fillId="105" borderId="0" xfId="849" applyFont="1" applyFill="1" applyBorder="1" applyAlignment="1">
      <alignment horizontal="center" vertical="top" wrapText="1"/>
      <protection/>
    </xf>
    <xf numFmtId="0" fontId="118" fillId="105" borderId="0" xfId="849" applyFont="1" applyFill="1" applyBorder="1" applyAlignment="1">
      <alignment horizontal="left" vertical="top" wrapText="1"/>
      <protection/>
    </xf>
    <xf numFmtId="0" fontId="119" fillId="0" borderId="0" xfId="0" applyFont="1" applyFill="1" applyBorder="1" applyAlignment="1">
      <alignment horizontal="left" vertical="top"/>
    </xf>
    <xf numFmtId="0" fontId="115" fillId="0" borderId="0" xfId="849" applyFont="1" applyFill="1" applyBorder="1">
      <alignment/>
      <protection/>
    </xf>
    <xf numFmtId="49" fontId="26" fillId="97" borderId="47" xfId="0" applyNumberFormat="1" applyFont="1" applyFill="1" applyBorder="1" applyAlignment="1" applyProtection="1">
      <alignment horizontal="left" vertical="center"/>
      <protection hidden="1"/>
    </xf>
    <xf numFmtId="10" fontId="26" fillId="97" borderId="0" xfId="999" applyNumberFormat="1" applyFont="1" applyFill="1" applyBorder="1" applyAlignment="1" applyProtection="1">
      <alignment vertical="center"/>
      <protection hidden="1"/>
    </xf>
    <xf numFmtId="0" fontId="24" fillId="0" borderId="0" xfId="0" applyFont="1" applyBorder="1" applyAlignment="1">
      <alignment vertical="center"/>
    </xf>
    <xf numFmtId="0" fontId="25" fillId="0" borderId="29" xfId="887" applyFont="1" applyFill="1" applyBorder="1" applyAlignment="1" applyProtection="1">
      <alignment vertical="center"/>
      <protection locked="0"/>
    </xf>
    <xf numFmtId="44" fontId="3" fillId="0" borderId="28" xfId="684" applyFont="1" applyFill="1" applyBorder="1" applyAlignment="1">
      <alignment vertical="center" wrapText="1"/>
    </xf>
    <xf numFmtId="44" fontId="3" fillId="0" borderId="55" xfId="684" applyFont="1" applyFill="1" applyBorder="1" applyAlignment="1">
      <alignment vertical="center" wrapText="1"/>
    </xf>
    <xf numFmtId="10" fontId="3" fillId="102" borderId="55" xfId="999" applyNumberFormat="1" applyFont="1" applyFill="1" applyBorder="1" applyAlignment="1">
      <alignment vertical="center" wrapText="1"/>
    </xf>
    <xf numFmtId="43" fontId="0" fillId="0" borderId="0" xfId="0" applyNumberFormat="1" applyFill="1" applyBorder="1" applyAlignment="1">
      <alignment vertical="center" wrapText="1"/>
    </xf>
    <xf numFmtId="0" fontId="24" fillId="0" borderId="48" xfId="0" applyFont="1" applyBorder="1" applyAlignment="1">
      <alignment vertical="center"/>
    </xf>
    <xf numFmtId="49" fontId="26" fillId="97" borderId="48" xfId="0" applyNumberFormat="1" applyFont="1" applyFill="1" applyBorder="1" applyAlignment="1" applyProtection="1">
      <alignment vertical="center"/>
      <protection hidden="1"/>
    </xf>
    <xf numFmtId="0" fontId="66" fillId="27" borderId="0" xfId="846" applyFont="1" applyFill="1" applyBorder="1" applyAlignment="1" applyProtection="1">
      <alignment horizontal="center" vertical="center"/>
      <protection/>
    </xf>
    <xf numFmtId="0" fontId="111" fillId="27" borderId="0" xfId="841" applyFont="1" applyFill="1" applyBorder="1" applyAlignment="1" applyProtection="1">
      <alignment horizontal="center" vertical="center"/>
      <protection/>
    </xf>
    <xf numFmtId="10" fontId="63" fillId="27" borderId="0" xfId="846" applyNumberFormat="1" applyFont="1" applyFill="1" applyBorder="1" applyAlignment="1" applyProtection="1">
      <alignment horizontal="center" vertical="center"/>
      <protection/>
    </xf>
    <xf numFmtId="0" fontId="66" fillId="0" borderId="0" xfId="918" applyFont="1" applyFill="1" applyBorder="1" applyAlignment="1" applyProtection="1">
      <alignment horizontal="center" vertical="center"/>
      <protection hidden="1"/>
    </xf>
    <xf numFmtId="0" fontId="63" fillId="0" borderId="0" xfId="0" applyFont="1" applyFill="1" applyBorder="1" applyAlignment="1" applyProtection="1">
      <alignment horizontal="center" vertical="center"/>
      <protection hidden="1"/>
    </xf>
    <xf numFmtId="10" fontId="62" fillId="0" borderId="0" xfId="1008" applyNumberFormat="1" applyFont="1" applyFill="1" applyBorder="1" applyAlignment="1" applyProtection="1">
      <alignment horizontal="center" vertical="center"/>
      <protection hidden="1"/>
    </xf>
    <xf numFmtId="44" fontId="26" fillId="97" borderId="48" xfId="999" applyNumberFormat="1" applyFont="1" applyFill="1" applyBorder="1" applyAlignment="1" applyProtection="1" quotePrefix="1">
      <alignment vertical="center"/>
      <protection hidden="1"/>
    </xf>
    <xf numFmtId="44" fontId="26" fillId="97" borderId="48" xfId="999" applyNumberFormat="1" applyFont="1" applyFill="1" applyBorder="1" applyAlignment="1" applyProtection="1">
      <alignment vertical="center"/>
      <protection hidden="1"/>
    </xf>
    <xf numFmtId="44" fontId="110" fillId="0" borderId="0" xfId="0" applyNumberFormat="1" applyFont="1" applyFill="1" applyBorder="1" applyAlignment="1">
      <alignment horizontal="left" vertical="top"/>
    </xf>
    <xf numFmtId="49" fontId="26" fillId="97" borderId="48" xfId="0" applyNumberFormat="1" applyFont="1" applyFill="1" applyBorder="1" applyAlignment="1" applyProtection="1" quotePrefix="1">
      <alignment vertical="center" wrapText="1"/>
      <protection hidden="1"/>
    </xf>
    <xf numFmtId="49" fontId="26" fillId="97" borderId="48" xfId="0" applyNumberFormat="1" applyFont="1" applyFill="1" applyBorder="1" applyAlignment="1" applyProtection="1">
      <alignment vertical="center" wrapText="1"/>
      <protection hidden="1"/>
    </xf>
    <xf numFmtId="49" fontId="26" fillId="97" borderId="48" xfId="0" applyNumberFormat="1" applyFont="1" applyFill="1" applyBorder="1" applyAlignment="1" applyProtection="1">
      <alignment vertical="center" wrapText="1"/>
      <protection hidden="1"/>
    </xf>
    <xf numFmtId="0" fontId="110" fillId="0" borderId="0" xfId="0" applyFont="1" applyFill="1" applyBorder="1" applyAlignment="1">
      <alignment horizontal="left" vertical="top" wrapText="1"/>
    </xf>
    <xf numFmtId="43" fontId="21" fillId="0" borderId="28" xfId="2044" applyFont="1" applyFill="1" applyBorder="1" applyAlignment="1">
      <alignment horizontal="center" vertical="center"/>
    </xf>
    <xf numFmtId="0" fontId="115" fillId="0" borderId="28" xfId="849" applyFont="1" applyBorder="1" applyAlignment="1">
      <alignment horizontal="left" vertical="top" wrapText="1"/>
      <protection/>
    </xf>
    <xf numFmtId="43" fontId="115" fillId="0" borderId="28" xfId="849" applyNumberFormat="1" applyFont="1" applyBorder="1" applyAlignment="1">
      <alignment horizontal="center" vertical="top" wrapText="1"/>
      <protection/>
    </xf>
    <xf numFmtId="0" fontId="115" fillId="0" borderId="28" xfId="849" applyFont="1" applyFill="1" applyBorder="1" applyAlignment="1">
      <alignment horizontal="left" vertical="top" wrapText="1"/>
      <protection/>
    </xf>
    <xf numFmtId="43" fontId="115" fillId="0" borderId="28" xfId="849" applyNumberFormat="1" applyFont="1" applyFill="1" applyBorder="1" applyAlignment="1">
      <alignment horizontal="center" vertical="top" wrapText="1"/>
      <protection/>
    </xf>
    <xf numFmtId="10" fontId="3" fillId="0" borderId="28" xfId="999" applyNumberFormat="1" applyFont="1" applyFill="1" applyBorder="1" applyAlignment="1">
      <alignment horizontal="center" vertical="center" wrapText="1"/>
    </xf>
    <xf numFmtId="43" fontId="3" fillId="0" borderId="28" xfId="2043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113" fillId="99" borderId="56" xfId="0" applyFont="1" applyFill="1" applyBorder="1" applyAlignment="1">
      <alignment vertical="center" wrapText="1"/>
    </xf>
    <xf numFmtId="4" fontId="0" fillId="0" borderId="0" xfId="0" applyNumberFormat="1" applyFill="1" applyBorder="1" applyAlignment="1">
      <alignment vertical="center" wrapText="1"/>
    </xf>
    <xf numFmtId="0" fontId="115" fillId="0" borderId="50" xfId="847" applyFont="1" applyBorder="1" applyAlignment="1">
      <alignment horizontal="left" vertical="top" wrapText="1"/>
      <protection/>
    </xf>
    <xf numFmtId="0" fontId="118" fillId="0" borderId="51" xfId="847" applyFont="1" applyBorder="1" applyAlignment="1">
      <alignment horizontal="left" vertical="top" wrapText="1"/>
      <protection/>
    </xf>
    <xf numFmtId="0" fontId="118" fillId="0" borderId="51" xfId="847" applyFont="1" applyBorder="1" applyAlignment="1">
      <alignment horizontal="center" vertical="top" wrapText="1"/>
      <protection/>
    </xf>
    <xf numFmtId="0" fontId="115" fillId="0" borderId="50" xfId="847" applyFont="1" applyBorder="1" applyAlignment="1">
      <alignment horizontal="right" vertical="top" wrapText="1"/>
      <protection/>
    </xf>
    <xf numFmtId="0" fontId="115" fillId="0" borderId="51" xfId="847" applyFont="1" applyBorder="1" applyAlignment="1">
      <alignment horizontal="left" vertical="top" wrapText="1"/>
      <protection/>
    </xf>
    <xf numFmtId="0" fontId="115" fillId="0" borderId="51" xfId="847" applyFont="1" applyBorder="1" applyAlignment="1">
      <alignment horizontal="center" vertical="top" wrapText="1"/>
      <protection/>
    </xf>
    <xf numFmtId="0" fontId="81" fillId="0" borderId="0" xfId="851">
      <alignment/>
      <protection/>
    </xf>
    <xf numFmtId="10" fontId="114" fillId="100" borderId="55" xfId="999" applyNumberFormat="1" applyFont="1" applyFill="1" applyBorder="1" applyAlignment="1">
      <alignment horizontal="center" vertical="center" wrapText="1"/>
    </xf>
    <xf numFmtId="0" fontId="115" fillId="0" borderId="50" xfId="849" applyFont="1" applyBorder="1" applyAlignment="1">
      <alignment vertical="top" wrapText="1"/>
      <protection/>
    </xf>
    <xf numFmtId="0" fontId="115" fillId="0" borderId="51" xfId="849" applyFont="1" applyBorder="1" applyAlignment="1">
      <alignment vertical="top" wrapText="1"/>
      <protection/>
    </xf>
    <xf numFmtId="0" fontId="115" fillId="104" borderId="50" xfId="849" applyFont="1" applyFill="1" applyBorder="1" applyAlignment="1">
      <alignment horizontal="right" vertical="top" wrapText="1"/>
      <protection/>
    </xf>
    <xf numFmtId="0" fontId="115" fillId="104" borderId="51" xfId="849" applyFont="1" applyFill="1" applyBorder="1" applyAlignment="1">
      <alignment horizontal="right" vertical="top" wrapText="1"/>
      <protection/>
    </xf>
    <xf numFmtId="0" fontId="118" fillId="0" borderId="51" xfId="849" applyFont="1" applyBorder="1" applyAlignment="1">
      <alignment horizontal="left" vertical="top" wrapText="1"/>
      <protection/>
    </xf>
    <xf numFmtId="0" fontId="3" fillId="0" borderId="0" xfId="0" applyFont="1" applyFill="1" applyBorder="1" applyAlignment="1">
      <alignment vertical="center" wrapText="1"/>
    </xf>
    <xf numFmtId="4" fontId="3" fillId="0" borderId="0" xfId="0" applyNumberFormat="1" applyFont="1" applyFill="1" applyBorder="1" applyAlignment="1" applyProtection="1">
      <alignment horizontal="left" vertical="center" wrapText="1"/>
      <protection/>
    </xf>
    <xf numFmtId="0" fontId="3" fillId="97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4" fontId="3" fillId="102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830" applyFont="1" applyFill="1" applyBorder="1" applyAlignment="1">
      <alignment vertical="center"/>
      <protection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898" applyNumberFormat="1" applyFont="1" applyFill="1" applyBorder="1" applyAlignment="1" applyProtection="1">
      <alignment horizontal="center" vertical="center"/>
      <protection/>
    </xf>
    <xf numFmtId="0" fontId="3" fillId="0" borderId="0" xfId="830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25" fillId="0" borderId="0" xfId="887" applyFont="1" applyFill="1" applyBorder="1" applyAlignment="1" applyProtection="1">
      <alignment horizontal="center" vertical="center" wrapText="1"/>
      <protection locked="0"/>
    </xf>
    <xf numFmtId="2" fontId="3" fillId="0" borderId="0" xfId="0" applyNumberFormat="1" applyFont="1" applyFill="1" applyBorder="1" applyAlignment="1">
      <alignment horizontal="center" vertical="center" wrapText="1"/>
    </xf>
    <xf numFmtId="4" fontId="3" fillId="0" borderId="0" xfId="2043" applyNumberFormat="1" applyFont="1" applyFill="1" applyBorder="1" applyAlignment="1" applyProtection="1">
      <alignment horizontal="center" vertical="center" wrapText="1"/>
      <protection/>
    </xf>
    <xf numFmtId="0" fontId="3" fillId="102" borderId="0" xfId="0" applyFont="1" applyFill="1" applyBorder="1" applyAlignment="1">
      <alignment horizontal="center" vertical="center" wrapText="1"/>
    </xf>
    <xf numFmtId="2" fontId="3" fillId="102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116" fillId="106" borderId="0" xfId="830" applyNumberFormat="1" applyFont="1" applyFill="1" applyBorder="1" applyAlignment="1">
      <alignment horizontal="center" vertical="center"/>
      <protection/>
    </xf>
    <xf numFmtId="0" fontId="3" fillId="0" borderId="48" xfId="0" applyFont="1" applyFill="1" applyBorder="1" applyAlignment="1">
      <alignment horizontal="center" vertical="center" wrapText="1"/>
    </xf>
    <xf numFmtId="4" fontId="3" fillId="0" borderId="48" xfId="0" applyNumberFormat="1" applyFont="1" applyFill="1" applyBorder="1" applyAlignment="1" applyProtection="1">
      <alignment horizontal="left" vertical="center" wrapText="1"/>
      <protection/>
    </xf>
    <xf numFmtId="0" fontId="3" fillId="0" borderId="48" xfId="0" applyFont="1" applyFill="1" applyBorder="1" applyAlignment="1">
      <alignment vertical="center" wrapText="1"/>
    </xf>
    <xf numFmtId="2" fontId="3" fillId="0" borderId="48" xfId="0" applyNumberFormat="1" applyFont="1" applyFill="1" applyBorder="1" applyAlignment="1">
      <alignment horizontal="center" vertical="center" wrapText="1"/>
    </xf>
    <xf numFmtId="0" fontId="3" fillId="0" borderId="35" xfId="0" applyFont="1" applyFill="1" applyBorder="1" applyAlignment="1" applyProtection="1">
      <alignment horizontal="left" vertical="center" wrapText="1"/>
      <protection/>
    </xf>
    <xf numFmtId="0" fontId="3" fillId="0" borderId="35" xfId="0" applyFont="1" applyFill="1" applyBorder="1" applyAlignment="1" applyProtection="1">
      <alignment vertical="center" wrapText="1"/>
      <protection/>
    </xf>
    <xf numFmtId="0" fontId="3" fillId="0" borderId="35" xfId="0" applyFont="1" applyFill="1" applyBorder="1" applyAlignment="1">
      <alignment horizontal="center" vertical="center" wrapText="1"/>
    </xf>
    <xf numFmtId="49" fontId="3" fillId="0" borderId="48" xfId="898" applyNumberFormat="1" applyFont="1" applyFill="1" applyBorder="1" applyAlignment="1" applyProtection="1">
      <alignment horizontal="center" vertical="center"/>
      <protection/>
    </xf>
    <xf numFmtId="4" fontId="3" fillId="97" borderId="48" xfId="2043" applyNumberFormat="1" applyFont="1" applyFill="1" applyBorder="1" applyAlignment="1" applyProtection="1">
      <alignment horizontal="center" vertical="center" wrapText="1"/>
      <protection/>
    </xf>
    <xf numFmtId="0" fontId="3" fillId="102" borderId="48" xfId="0" applyFont="1" applyFill="1" applyBorder="1" applyAlignment="1">
      <alignment horizontal="center" vertical="center" wrapText="1"/>
    </xf>
    <xf numFmtId="4" fontId="3" fillId="102" borderId="48" xfId="0" applyNumberFormat="1" applyFont="1" applyFill="1" applyBorder="1" applyAlignment="1" applyProtection="1">
      <alignment horizontal="left" vertical="center" wrapText="1"/>
      <protection/>
    </xf>
    <xf numFmtId="2" fontId="3" fillId="102" borderId="48" xfId="0" applyNumberFormat="1" applyFont="1" applyFill="1" applyBorder="1" applyAlignment="1">
      <alignment horizontal="center" vertical="center" wrapText="1"/>
    </xf>
    <xf numFmtId="49" fontId="115" fillId="0" borderId="48" xfId="898" applyNumberFormat="1" applyFont="1" applyFill="1" applyBorder="1" applyAlignment="1" applyProtection="1">
      <alignment horizontal="center" vertical="center"/>
      <protection/>
    </xf>
    <xf numFmtId="0" fontId="3" fillId="0" borderId="48" xfId="0" applyFont="1" applyFill="1" applyBorder="1" applyAlignment="1" applyProtection="1">
      <alignment vertical="center" wrapText="1"/>
      <protection/>
    </xf>
    <xf numFmtId="4" fontId="115" fillId="97" borderId="48" xfId="2256" applyNumberFormat="1" applyFont="1" applyFill="1" applyBorder="1" applyAlignment="1" applyProtection="1">
      <alignment horizontal="center" vertical="center" wrapText="1"/>
      <protection/>
    </xf>
    <xf numFmtId="0" fontId="3" fillId="97" borderId="48" xfId="898" applyFont="1" applyFill="1" applyBorder="1" applyAlignment="1" applyProtection="1">
      <alignment vertical="center"/>
      <protection/>
    </xf>
    <xf numFmtId="0" fontId="3" fillId="0" borderId="48" xfId="0" applyFont="1" applyFill="1" applyBorder="1" applyAlignment="1" applyProtection="1">
      <alignment horizontal="left" vertical="center" wrapText="1"/>
      <protection/>
    </xf>
    <xf numFmtId="178" fontId="3" fillId="0" borderId="48" xfId="2043" applyNumberFormat="1" applyFont="1" applyFill="1" applyBorder="1" applyAlignment="1">
      <alignment horizontal="center" vertical="center" wrapText="1"/>
    </xf>
    <xf numFmtId="178" fontId="3" fillId="0" borderId="35" xfId="2043" applyNumberFormat="1" applyFont="1" applyFill="1" applyBorder="1" applyAlignment="1">
      <alignment horizontal="center" vertical="center" wrapText="1"/>
    </xf>
    <xf numFmtId="178" fontId="3" fillId="0" borderId="0" xfId="2043" applyNumberFormat="1" applyFont="1" applyFill="1" applyBorder="1" applyAlignment="1">
      <alignment horizontal="center" vertical="center" wrapText="1"/>
    </xf>
    <xf numFmtId="178" fontId="3" fillId="102" borderId="0" xfId="2043" applyNumberFormat="1" applyFont="1" applyFill="1" applyBorder="1" applyAlignment="1">
      <alignment horizontal="center" vertical="center" wrapText="1"/>
    </xf>
    <xf numFmtId="0" fontId="3" fillId="96" borderId="0" xfId="0" applyFont="1" applyFill="1" applyBorder="1" applyAlignment="1">
      <alignment horizontal="center" vertical="center" wrapText="1"/>
    </xf>
    <xf numFmtId="4" fontId="3" fillId="96" borderId="0" xfId="0" applyNumberFormat="1" applyFont="1" applyFill="1" applyBorder="1" applyAlignment="1" applyProtection="1">
      <alignment horizontal="left" vertical="center" wrapText="1"/>
      <protection/>
    </xf>
    <xf numFmtId="0" fontId="3" fillId="96" borderId="0" xfId="0" applyFont="1" applyFill="1" applyBorder="1" applyAlignment="1">
      <alignment vertical="center" wrapText="1"/>
    </xf>
    <xf numFmtId="2" fontId="3" fillId="96" borderId="0" xfId="0" applyNumberFormat="1" applyFont="1" applyFill="1" applyBorder="1" applyAlignment="1">
      <alignment horizontal="center" vertical="center" wrapText="1"/>
    </xf>
    <xf numFmtId="0" fontId="115" fillId="96" borderId="0" xfId="898" applyFont="1" applyFill="1" applyBorder="1" applyAlignment="1" applyProtection="1">
      <alignment horizontal="center" vertical="center" wrapText="1"/>
      <protection/>
    </xf>
    <xf numFmtId="178" fontId="118" fillId="96" borderId="0" xfId="898" applyNumberFormat="1" applyFont="1" applyFill="1" applyBorder="1" applyAlignment="1" applyProtection="1">
      <alignment horizontal="center" vertical="center" wrapText="1"/>
      <protection/>
    </xf>
    <xf numFmtId="178" fontId="25" fillId="96" borderId="0" xfId="2043" applyNumberFormat="1" applyFont="1" applyFill="1" applyBorder="1" applyAlignment="1">
      <alignment horizontal="center" vertical="center" wrapText="1"/>
    </xf>
    <xf numFmtId="0" fontId="3" fillId="0" borderId="48" xfId="0" applyFont="1" applyFill="1" applyBorder="1" applyAlignment="1" applyProtection="1">
      <alignment horizontal="left" vertical="center" wrapText="1"/>
      <protection hidden="1"/>
    </xf>
    <xf numFmtId="2" fontId="3" fillId="0" borderId="48" xfId="0" applyNumberFormat="1" applyFont="1" applyFill="1" applyBorder="1" applyAlignment="1" applyProtection="1">
      <alignment horizontal="center" vertical="center" wrapText="1"/>
      <protection/>
    </xf>
    <xf numFmtId="0" fontId="3" fillId="0" borderId="48" xfId="0" applyFont="1" applyFill="1" applyBorder="1" applyAlignment="1">
      <alignment horizontal="left" vertical="center"/>
    </xf>
    <xf numFmtId="0" fontId="116" fillId="106" borderId="48" xfId="830" applyNumberFormat="1" applyFont="1" applyFill="1" applyBorder="1" applyAlignment="1">
      <alignment horizontal="center" vertical="center"/>
      <protection/>
    </xf>
    <xf numFmtId="0" fontId="3" fillId="97" borderId="48" xfId="0" applyFont="1" applyFill="1" applyBorder="1" applyAlignment="1">
      <alignment vertical="center" wrapText="1"/>
    </xf>
    <xf numFmtId="0" fontId="3" fillId="97" borderId="48" xfId="0" applyFont="1" applyFill="1" applyBorder="1" applyAlignment="1" quotePrefix="1">
      <alignment vertical="center" wrapText="1"/>
    </xf>
    <xf numFmtId="0" fontId="3" fillId="0" borderId="48" xfId="830" applyFont="1" applyFill="1" applyBorder="1" applyAlignment="1">
      <alignment horizontal="center" vertical="center"/>
      <protection/>
    </xf>
    <xf numFmtId="4" fontId="3" fillId="0" borderId="48" xfId="0" applyNumberFormat="1" applyFont="1" applyFill="1" applyBorder="1" applyAlignment="1">
      <alignment horizontal="center" vertical="center" wrapText="1"/>
    </xf>
    <xf numFmtId="0" fontId="115" fillId="0" borderId="48" xfId="898" applyFont="1" applyFill="1" applyBorder="1" applyAlignment="1" applyProtection="1">
      <alignment horizontal="center" vertical="center" wrapText="1"/>
      <protection/>
    </xf>
    <xf numFmtId="178" fontId="25" fillId="0" borderId="48" xfId="2043" applyNumberFormat="1" applyFont="1" applyFill="1" applyBorder="1" applyAlignment="1">
      <alignment horizontal="center" vertical="center" wrapText="1"/>
    </xf>
    <xf numFmtId="0" fontId="3" fillId="0" borderId="48" xfId="830" applyFont="1" applyFill="1" applyBorder="1" applyAlignment="1">
      <alignment vertical="center"/>
      <protection/>
    </xf>
    <xf numFmtId="0" fontId="115" fillId="0" borderId="0" xfId="898" applyFont="1" applyFill="1" applyBorder="1" applyAlignment="1" applyProtection="1">
      <alignment horizontal="center" vertical="center" wrapText="1"/>
      <protection/>
    </xf>
    <xf numFmtId="178" fontId="118" fillId="0" borderId="0" xfId="898" applyNumberFormat="1" applyFont="1" applyFill="1" applyBorder="1" applyAlignment="1" applyProtection="1">
      <alignment horizontal="center" vertical="center" wrapText="1"/>
      <protection/>
    </xf>
    <xf numFmtId="178" fontId="25" fillId="0" borderId="0" xfId="2043" applyNumberFormat="1" applyFont="1" applyFill="1" applyBorder="1" applyAlignment="1">
      <alignment horizontal="center" vertical="center" wrapText="1"/>
    </xf>
    <xf numFmtId="178" fontId="118" fillId="0" borderId="0" xfId="898" applyNumberFormat="1" applyFont="1" applyFill="1" applyBorder="1" applyAlignment="1" applyProtection="1">
      <alignment horizontal="right" vertical="center" wrapText="1"/>
      <protection/>
    </xf>
    <xf numFmtId="178" fontId="25" fillId="0" borderId="0" xfId="2043" applyNumberFormat="1" applyFont="1" applyFill="1" applyBorder="1" applyAlignment="1">
      <alignment horizontal="right" vertical="center" wrapText="1"/>
    </xf>
    <xf numFmtId="0" fontId="25" fillId="0" borderId="31" xfId="898" applyFont="1" applyFill="1" applyBorder="1" applyAlignment="1" applyProtection="1">
      <alignment vertical="center" wrapText="1"/>
      <protection/>
    </xf>
    <xf numFmtId="0" fontId="25" fillId="0" borderId="33" xfId="898" applyFont="1" applyFill="1" applyBorder="1" applyAlignment="1" applyProtection="1">
      <alignment vertical="center" wrapText="1"/>
      <protection/>
    </xf>
    <xf numFmtId="0" fontId="25" fillId="0" borderId="36" xfId="898" applyFont="1" applyFill="1" applyBorder="1" applyAlignment="1" applyProtection="1">
      <alignment vertical="center" wrapText="1"/>
      <protection/>
    </xf>
    <xf numFmtId="178" fontId="3" fillId="102" borderId="48" xfId="2043" applyNumberFormat="1" applyFont="1" applyFill="1" applyBorder="1" applyAlignment="1">
      <alignment horizontal="center" vertical="center" wrapText="1"/>
    </xf>
    <xf numFmtId="178" fontId="3" fillId="0" borderId="30" xfId="2043" applyNumberFormat="1" applyFont="1" applyFill="1" applyBorder="1" applyAlignment="1">
      <alignment horizontal="center" vertical="center" wrapText="1"/>
    </xf>
    <xf numFmtId="0" fontId="3" fillId="0" borderId="0" xfId="830" applyNumberFormat="1" applyFont="1" applyFill="1" applyBorder="1" applyAlignment="1">
      <alignment horizontal="center" vertical="center"/>
      <protection/>
    </xf>
    <xf numFmtId="0" fontId="3" fillId="0" borderId="48" xfId="830" applyNumberFormat="1" applyFont="1" applyFill="1" applyBorder="1" applyAlignment="1">
      <alignment horizontal="center" vertical="center"/>
      <protection/>
    </xf>
    <xf numFmtId="0" fontId="115" fillId="0" borderId="51" xfId="849" applyFont="1" applyBorder="1" applyAlignment="1">
      <alignment vertical="top" wrapText="1"/>
      <protection/>
    </xf>
    <xf numFmtId="0" fontId="115" fillId="104" borderId="50" xfId="849" applyFont="1" applyFill="1" applyBorder="1" applyAlignment="1">
      <alignment horizontal="right" vertical="top" wrapText="1"/>
      <protection/>
    </xf>
    <xf numFmtId="0" fontId="115" fillId="104" borderId="51" xfId="849" applyFont="1" applyFill="1" applyBorder="1" applyAlignment="1">
      <alignment horizontal="right" vertical="top" wrapText="1"/>
      <protection/>
    </xf>
    <xf numFmtId="170" fontId="120" fillId="0" borderId="51" xfId="849" applyNumberFormat="1" applyFont="1" applyBorder="1" applyAlignment="1">
      <alignment horizontal="right" vertical="top" wrapText="1"/>
      <protection/>
    </xf>
    <xf numFmtId="4" fontId="120" fillId="0" borderId="51" xfId="849" applyNumberFormat="1" applyFont="1" applyBorder="1" applyAlignment="1">
      <alignment horizontal="right" vertical="top" wrapText="1"/>
      <protection/>
    </xf>
    <xf numFmtId="4" fontId="120" fillId="0" borderId="58" xfId="849" applyNumberFormat="1" applyFont="1" applyBorder="1" applyAlignment="1">
      <alignment horizontal="right" vertical="top" wrapText="1"/>
      <protection/>
    </xf>
    <xf numFmtId="4" fontId="120" fillId="104" borderId="58" xfId="849" applyNumberFormat="1" applyFont="1" applyFill="1" applyBorder="1" applyAlignment="1">
      <alignment horizontal="right" vertical="top"/>
      <protection/>
    </xf>
    <xf numFmtId="49" fontId="3" fillId="0" borderId="30" xfId="898" applyNumberFormat="1" applyFont="1" applyFill="1" applyBorder="1" applyAlignment="1" applyProtection="1">
      <alignment horizontal="center" vertical="center"/>
      <protection/>
    </xf>
    <xf numFmtId="0" fontId="115" fillId="0" borderId="48" xfId="0" applyFont="1" applyFill="1" applyBorder="1" applyAlignment="1">
      <alignment horizontal="left" vertical="center" wrapText="1"/>
    </xf>
    <xf numFmtId="0" fontId="3" fillId="97" borderId="48" xfId="0" applyFont="1" applyFill="1" applyBorder="1" applyAlignment="1" applyProtection="1">
      <alignment vertical="center" wrapText="1"/>
      <protection/>
    </xf>
    <xf numFmtId="0" fontId="3" fillId="96" borderId="48" xfId="0" applyFont="1" applyFill="1" applyBorder="1" applyAlignment="1">
      <alignment horizontal="center" vertical="center" wrapText="1"/>
    </xf>
    <xf numFmtId="4" fontId="3" fillId="96" borderId="48" xfId="0" applyNumberFormat="1" applyFont="1" applyFill="1" applyBorder="1" applyAlignment="1" applyProtection="1">
      <alignment horizontal="left" vertical="center" wrapText="1"/>
      <protection/>
    </xf>
    <xf numFmtId="0" fontId="3" fillId="96" borderId="48" xfId="0" applyFont="1" applyFill="1" applyBorder="1" applyAlignment="1">
      <alignment vertical="center" wrapText="1"/>
    </xf>
    <xf numFmtId="2" fontId="3" fillId="96" borderId="48" xfId="0" applyNumberFormat="1" applyFont="1" applyFill="1" applyBorder="1" applyAlignment="1">
      <alignment horizontal="center" vertical="center" wrapText="1"/>
    </xf>
    <xf numFmtId="0" fontId="115" fillId="96" borderId="48" xfId="898" applyFont="1" applyFill="1" applyBorder="1" applyAlignment="1" applyProtection="1">
      <alignment horizontal="center" vertical="center" wrapText="1"/>
      <protection/>
    </xf>
    <xf numFmtId="178" fontId="118" fillId="96" borderId="48" xfId="898" applyNumberFormat="1" applyFont="1" applyFill="1" applyBorder="1" applyAlignment="1" applyProtection="1">
      <alignment horizontal="center" vertical="center" wrapText="1"/>
      <protection/>
    </xf>
    <xf numFmtId="178" fontId="25" fillId="96" borderId="48" xfId="2043" applyNumberFormat="1" applyFont="1" applyFill="1" applyBorder="1" applyAlignment="1">
      <alignment horizontal="center" vertical="center" wrapText="1"/>
    </xf>
    <xf numFmtId="2" fontId="3" fillId="0" borderId="35" xfId="0" applyNumberFormat="1" applyFont="1" applyFill="1" applyBorder="1" applyAlignment="1">
      <alignment horizontal="center" vertical="center" wrapText="1"/>
    </xf>
    <xf numFmtId="0" fontId="115" fillId="0" borderId="59" xfId="849" applyFont="1" applyBorder="1" applyAlignment="1">
      <alignment vertical="top" wrapText="1"/>
      <protection/>
    </xf>
    <xf numFmtId="0" fontId="0" fillId="0" borderId="28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 wrapText="1"/>
    </xf>
    <xf numFmtId="0" fontId="0" fillId="0" borderId="28" xfId="0" applyFill="1" applyBorder="1" applyAlignment="1">
      <alignment vertical="center" wrapText="1"/>
    </xf>
    <xf numFmtId="0" fontId="110" fillId="0" borderId="28" xfId="0" applyFont="1" applyFill="1" applyBorder="1" applyAlignment="1">
      <alignment horizontal="left" vertical="top" wrapText="1"/>
    </xf>
    <xf numFmtId="44" fontId="110" fillId="0" borderId="28" xfId="0" applyNumberFormat="1" applyFont="1" applyFill="1" applyBorder="1" applyAlignment="1">
      <alignment horizontal="left" vertical="top"/>
    </xf>
    <xf numFmtId="0" fontId="118" fillId="0" borderId="51" xfId="849" applyFont="1" applyFill="1" applyBorder="1" applyAlignment="1">
      <alignment horizontal="left" vertical="top" wrapText="1"/>
      <protection/>
    </xf>
    <xf numFmtId="0" fontId="118" fillId="0" borderId="51" xfId="849" applyFont="1" applyFill="1" applyBorder="1" applyAlignment="1">
      <alignment horizontal="center" vertical="top" wrapText="1"/>
      <protection/>
    </xf>
    <xf numFmtId="0" fontId="115" fillId="0" borderId="50" xfId="849" applyFont="1" applyFill="1" applyBorder="1" applyAlignment="1">
      <alignment horizontal="right" vertical="top" wrapText="1"/>
      <protection/>
    </xf>
    <xf numFmtId="0" fontId="115" fillId="0" borderId="51" xfId="849" applyFont="1" applyFill="1" applyBorder="1" applyAlignment="1">
      <alignment horizontal="left" vertical="top" wrapText="1"/>
      <protection/>
    </xf>
    <xf numFmtId="0" fontId="115" fillId="0" borderId="51" xfId="849" applyFont="1" applyFill="1" applyBorder="1" applyAlignment="1">
      <alignment horizontal="center" vertical="top" wrapText="1"/>
      <protection/>
    </xf>
    <xf numFmtId="0" fontId="118" fillId="0" borderId="50" xfId="849" applyFont="1" applyFill="1" applyBorder="1" applyAlignment="1">
      <alignment horizontal="right" vertical="top" wrapText="1"/>
      <protection/>
    </xf>
    <xf numFmtId="0" fontId="3" fillId="0" borderId="30" xfId="830" applyFont="1" applyFill="1" applyBorder="1" applyAlignment="1">
      <alignment vertical="center"/>
      <protection/>
    </xf>
    <xf numFmtId="0" fontId="25" fillId="0" borderId="51" xfId="849" applyFont="1" applyBorder="1" applyAlignment="1">
      <alignment horizontal="left" vertical="top" wrapText="1"/>
      <protection/>
    </xf>
    <xf numFmtId="10" fontId="113" fillId="99" borderId="55" xfId="999" applyNumberFormat="1" applyFont="1" applyFill="1" applyBorder="1" applyAlignment="1">
      <alignment horizontal="center" vertical="center" wrapText="1"/>
    </xf>
    <xf numFmtId="0" fontId="0" fillId="0" borderId="35" xfId="0" applyFill="1" applyBorder="1" applyAlignment="1">
      <alignment horizontal="left" vertical="center"/>
    </xf>
    <xf numFmtId="49" fontId="26" fillId="97" borderId="35" xfId="0" applyNumberFormat="1" applyFont="1" applyFill="1" applyBorder="1" applyAlignment="1" applyProtection="1">
      <alignment vertical="center"/>
      <protection hidden="1"/>
    </xf>
    <xf numFmtId="10" fontId="26" fillId="97" borderId="35" xfId="999" applyNumberFormat="1" applyFont="1" applyFill="1" applyBorder="1" applyAlignment="1" applyProtection="1">
      <alignment vertical="center"/>
      <protection hidden="1"/>
    </xf>
    <xf numFmtId="14" fontId="26" fillId="97" borderId="0" xfId="0" applyNumberFormat="1" applyFont="1" applyFill="1" applyBorder="1" applyAlignment="1" applyProtection="1">
      <alignment horizontal="left" vertical="center"/>
      <protection hidden="1"/>
    </xf>
    <xf numFmtId="0" fontId="24" fillId="0" borderId="32" xfId="0" applyFont="1" applyBorder="1" applyAlignment="1">
      <alignment vertical="center"/>
    </xf>
    <xf numFmtId="0" fontId="24" fillId="0" borderId="34" xfId="0" applyFont="1" applyBorder="1" applyAlignment="1">
      <alignment vertical="center"/>
    </xf>
    <xf numFmtId="49" fontId="26" fillId="97" borderId="33" xfId="0" applyNumberFormat="1" applyFont="1" applyFill="1" applyBorder="1" applyAlignment="1" applyProtection="1">
      <alignment vertical="center"/>
      <protection hidden="1"/>
    </xf>
    <xf numFmtId="49" fontId="26" fillId="97" borderId="36" xfId="0" applyNumberFormat="1" applyFont="1" applyFill="1" applyBorder="1" applyAlignment="1" applyProtection="1">
      <alignment vertical="center"/>
      <protection hidden="1"/>
    </xf>
    <xf numFmtId="0" fontId="0" fillId="0" borderId="48" xfId="0" applyFill="1" applyBorder="1" applyAlignment="1">
      <alignment horizontal="left" vertical="center"/>
    </xf>
    <xf numFmtId="49" fontId="26" fillId="97" borderId="37" xfId="0" applyNumberFormat="1" applyFont="1" applyFill="1" applyBorder="1" applyAlignment="1" applyProtection="1" quotePrefix="1">
      <alignment vertical="center"/>
      <protection hidden="1"/>
    </xf>
    <xf numFmtId="49" fontId="26" fillId="97" borderId="48" xfId="0" applyNumberFormat="1" applyFont="1" applyFill="1" applyBorder="1" applyAlignment="1" applyProtection="1" quotePrefix="1">
      <alignment vertical="center"/>
      <protection hidden="1"/>
    </xf>
    <xf numFmtId="10" fontId="26" fillId="97" borderId="48" xfId="999" applyNumberFormat="1" applyFont="1" applyFill="1" applyBorder="1" applyAlignment="1" applyProtection="1" quotePrefix="1">
      <alignment vertical="center"/>
      <protection hidden="1"/>
    </xf>
    <xf numFmtId="49" fontId="26" fillId="97" borderId="37" xfId="0" applyNumberFormat="1" applyFont="1" applyFill="1" applyBorder="1" applyAlignment="1" applyProtection="1">
      <alignment vertical="center"/>
      <protection hidden="1"/>
    </xf>
    <xf numFmtId="49" fontId="26" fillId="97" borderId="48" xfId="0" applyNumberFormat="1" applyFont="1" applyFill="1" applyBorder="1" applyAlignment="1" applyProtection="1">
      <alignment vertical="center"/>
      <protection hidden="1"/>
    </xf>
    <xf numFmtId="10" fontId="26" fillId="97" borderId="48" xfId="999" applyNumberFormat="1" applyFont="1" applyFill="1" applyBorder="1" applyAlignment="1" applyProtection="1">
      <alignment vertical="center"/>
      <protection hidden="1"/>
    </xf>
    <xf numFmtId="0" fontId="0" fillId="98" borderId="0" xfId="0" applyFill="1" applyBorder="1" applyAlignment="1">
      <alignment horizontal="left" vertical="center"/>
    </xf>
    <xf numFmtId="2" fontId="0" fillId="98" borderId="0" xfId="0" applyNumberFormat="1" applyFill="1" applyBorder="1" applyAlignment="1">
      <alignment horizontal="left" vertical="center"/>
    </xf>
    <xf numFmtId="178" fontId="113" fillId="100" borderId="28" xfId="2043" applyNumberFormat="1" applyFont="1" applyFill="1" applyBorder="1" applyAlignment="1">
      <alignment horizontal="center" vertical="center" wrapText="1"/>
    </xf>
    <xf numFmtId="0" fontId="3" fillId="23" borderId="28" xfId="0" applyFont="1" applyFill="1" applyBorder="1" applyAlignment="1">
      <alignment horizontal="center" vertical="center" wrapText="1"/>
    </xf>
    <xf numFmtId="2" fontId="3" fillId="23" borderId="28" xfId="0" applyNumberFormat="1" applyFont="1" applyFill="1" applyBorder="1" applyAlignment="1">
      <alignment horizontal="center" vertical="center" wrapText="1"/>
    </xf>
    <xf numFmtId="178" fontId="3" fillId="23" borderId="28" xfId="2043" applyNumberFormat="1" applyFont="1" applyFill="1" applyBorder="1" applyAlignment="1">
      <alignment horizontal="center" vertical="center" wrapText="1"/>
    </xf>
    <xf numFmtId="10" fontId="0" fillId="23" borderId="28" xfId="0" applyNumberFormat="1" applyFill="1" applyBorder="1" applyAlignment="1">
      <alignment horizontal="center" vertical="center"/>
    </xf>
    <xf numFmtId="49" fontId="3" fillId="23" borderId="28" xfId="898" applyNumberFormat="1" applyFont="1" applyFill="1" applyBorder="1" applyAlignment="1" applyProtection="1">
      <alignment horizontal="center" vertical="center"/>
      <protection/>
    </xf>
    <xf numFmtId="0" fontId="3" fillId="23" borderId="28" xfId="830" applyNumberFormat="1" applyFont="1" applyFill="1" applyBorder="1" applyAlignment="1">
      <alignment horizontal="center" vertical="center"/>
      <protection/>
    </xf>
    <xf numFmtId="0" fontId="3" fillId="27" borderId="28" xfId="0" applyFont="1" applyFill="1" applyBorder="1" applyAlignment="1">
      <alignment horizontal="center" vertical="center" wrapText="1"/>
    </xf>
    <xf numFmtId="2" fontId="3" fillId="27" borderId="28" xfId="0" applyNumberFormat="1" applyFont="1" applyFill="1" applyBorder="1" applyAlignment="1">
      <alignment horizontal="center" vertical="center" wrapText="1"/>
    </xf>
    <xf numFmtId="178" fontId="3" fillId="27" borderId="28" xfId="2043" applyNumberFormat="1" applyFont="1" applyFill="1" applyBorder="1" applyAlignment="1">
      <alignment horizontal="center" vertical="center" wrapText="1"/>
    </xf>
    <xf numFmtId="10" fontId="0" fillId="27" borderId="28" xfId="0" applyNumberFormat="1" applyFill="1" applyBorder="1" applyAlignment="1">
      <alignment horizontal="center" vertical="center"/>
    </xf>
    <xf numFmtId="49" fontId="3" fillId="27" borderId="28" xfId="898" applyNumberFormat="1" applyFont="1" applyFill="1" applyBorder="1" applyAlignment="1" applyProtection="1">
      <alignment horizontal="center" vertical="center"/>
      <protection/>
    </xf>
    <xf numFmtId="49" fontId="115" fillId="27" borderId="28" xfId="898" applyNumberFormat="1" applyFont="1" applyFill="1" applyBorder="1" applyAlignment="1" applyProtection="1">
      <alignment horizontal="center" vertical="center"/>
      <protection/>
    </xf>
    <xf numFmtId="0" fontId="0" fillId="0" borderId="37" xfId="0" applyFill="1" applyBorder="1" applyAlignment="1">
      <alignment horizontal="left" vertical="center"/>
    </xf>
    <xf numFmtId="170" fontId="3" fillId="0" borderId="51" xfId="849" applyNumberFormat="1" applyFont="1" applyBorder="1" applyAlignment="1">
      <alignment horizontal="right" vertical="top" wrapText="1"/>
      <protection/>
    </xf>
    <xf numFmtId="4" fontId="3" fillId="0" borderId="51" xfId="849" applyNumberFormat="1" applyFont="1" applyBorder="1" applyAlignment="1">
      <alignment horizontal="right" vertical="top" wrapText="1"/>
      <protection/>
    </xf>
    <xf numFmtId="4" fontId="3" fillId="0" borderId="58" xfId="849" applyNumberFormat="1" applyFont="1" applyBorder="1" applyAlignment="1">
      <alignment horizontal="right" vertical="top" wrapText="1"/>
      <protection/>
    </xf>
    <xf numFmtId="0" fontId="3" fillId="0" borderId="50" xfId="849" applyFont="1" applyBorder="1" applyAlignment="1">
      <alignment horizontal="right" vertical="top" wrapText="1"/>
      <protection/>
    </xf>
    <xf numFmtId="0" fontId="3" fillId="0" borderId="51" xfId="849" applyFont="1" applyBorder="1" applyAlignment="1">
      <alignment horizontal="left" vertical="top" wrapText="1"/>
      <protection/>
    </xf>
    <xf numFmtId="0" fontId="3" fillId="0" borderId="51" xfId="849" applyFont="1" applyBorder="1" applyAlignment="1">
      <alignment horizontal="center" vertical="top" wrapText="1"/>
      <protection/>
    </xf>
    <xf numFmtId="4" fontId="3" fillId="104" borderId="58" xfId="849" applyNumberFormat="1" applyFont="1" applyFill="1" applyBorder="1" applyAlignment="1">
      <alignment horizontal="right" vertical="top"/>
      <protection/>
    </xf>
    <xf numFmtId="0" fontId="120" fillId="104" borderId="53" xfId="849" applyFont="1" applyFill="1" applyBorder="1" applyAlignment="1">
      <alignment horizontal="right" vertical="top"/>
      <protection/>
    </xf>
    <xf numFmtId="0" fontId="120" fillId="104" borderId="59" xfId="849" applyFont="1" applyFill="1" applyBorder="1" applyAlignment="1">
      <alignment horizontal="right" vertical="top"/>
      <protection/>
    </xf>
    <xf numFmtId="10" fontId="0" fillId="0" borderId="0" xfId="0" applyNumberFormat="1" applyFill="1" applyBorder="1" applyAlignment="1">
      <alignment horizontal="left" vertical="center"/>
    </xf>
    <xf numFmtId="170" fontId="121" fillId="105" borderId="0" xfId="849" applyNumberFormat="1" applyFont="1" applyFill="1" applyBorder="1" applyAlignment="1">
      <alignment horizontal="right" vertical="top" wrapText="1"/>
      <protection/>
    </xf>
    <xf numFmtId="4" fontId="121" fillId="105" borderId="0" xfId="849" applyNumberFormat="1" applyFont="1" applyFill="1" applyBorder="1" applyAlignment="1">
      <alignment horizontal="right" vertical="top" wrapText="1"/>
      <protection/>
    </xf>
    <xf numFmtId="4" fontId="121" fillId="105" borderId="0" xfId="849" applyNumberFormat="1" applyFont="1" applyFill="1" applyBorder="1" applyAlignment="1">
      <alignment horizontal="right" vertical="top"/>
      <protection/>
    </xf>
    <xf numFmtId="170" fontId="120" fillId="0" borderId="51" xfId="847" applyNumberFormat="1" applyFont="1" applyBorder="1" applyAlignment="1">
      <alignment horizontal="right" vertical="top" wrapText="1"/>
      <protection/>
    </xf>
    <xf numFmtId="4" fontId="120" fillId="0" borderId="51" xfId="847" applyNumberFormat="1" applyFont="1" applyBorder="1" applyAlignment="1">
      <alignment horizontal="right" vertical="top" wrapText="1"/>
      <protection/>
    </xf>
    <xf numFmtId="4" fontId="120" fillId="0" borderId="58" xfId="847" applyNumberFormat="1" applyFont="1" applyBorder="1" applyAlignment="1">
      <alignment horizontal="right" vertical="top" wrapText="1"/>
      <protection/>
    </xf>
    <xf numFmtId="0" fontId="120" fillId="0" borderId="53" xfId="849" applyFont="1" applyFill="1" applyBorder="1" applyAlignment="1">
      <alignment vertical="top" wrapText="1"/>
      <protection/>
    </xf>
    <xf numFmtId="0" fontId="120" fillId="0" borderId="60" xfId="849" applyFont="1" applyFill="1" applyBorder="1" applyAlignment="1">
      <alignment vertical="top" wrapText="1"/>
      <protection/>
    </xf>
    <xf numFmtId="0" fontId="121" fillId="0" borderId="53" xfId="849" applyFont="1" applyBorder="1" applyAlignment="1">
      <alignment vertical="top" wrapText="1"/>
      <protection/>
    </xf>
    <xf numFmtId="0" fontId="121" fillId="0" borderId="60" xfId="849" applyFont="1" applyBorder="1" applyAlignment="1">
      <alignment vertical="top" wrapText="1"/>
      <protection/>
    </xf>
    <xf numFmtId="170" fontId="120" fillId="0" borderId="51" xfId="849" applyNumberFormat="1" applyFont="1" applyFill="1" applyBorder="1" applyAlignment="1">
      <alignment horizontal="right" vertical="top" wrapText="1"/>
      <protection/>
    </xf>
    <xf numFmtId="4" fontId="120" fillId="0" borderId="51" xfId="849" applyNumberFormat="1" applyFont="1" applyFill="1" applyBorder="1" applyAlignment="1">
      <alignment horizontal="right" vertical="top" wrapText="1"/>
      <protection/>
    </xf>
    <xf numFmtId="4" fontId="120" fillId="0" borderId="58" xfId="849" applyNumberFormat="1" applyFont="1" applyFill="1" applyBorder="1" applyAlignment="1">
      <alignment horizontal="right" vertical="top" wrapText="1"/>
      <protection/>
    </xf>
    <xf numFmtId="0" fontId="120" fillId="104" borderId="51" xfId="849" applyFont="1" applyFill="1" applyBorder="1" applyAlignment="1">
      <alignment horizontal="right" vertical="top" wrapText="1"/>
      <protection/>
    </xf>
    <xf numFmtId="0" fontId="120" fillId="104" borderId="58" xfId="849" applyFont="1" applyFill="1" applyBorder="1" applyAlignment="1">
      <alignment horizontal="right" vertical="top" wrapText="1"/>
      <protection/>
    </xf>
    <xf numFmtId="0" fontId="120" fillId="0" borderId="51" xfId="849" applyFont="1" applyBorder="1" applyAlignment="1">
      <alignment vertical="top" wrapText="1"/>
      <protection/>
    </xf>
    <xf numFmtId="0" fontId="120" fillId="0" borderId="58" xfId="849" applyFont="1" applyBorder="1" applyAlignment="1">
      <alignment vertical="top" wrapText="1"/>
      <protection/>
    </xf>
    <xf numFmtId="0" fontId="120" fillId="0" borderId="0" xfId="849" applyFont="1">
      <alignment/>
      <protection/>
    </xf>
    <xf numFmtId="170" fontId="120" fillId="0" borderId="0" xfId="849" applyNumberFormat="1" applyFont="1">
      <alignment/>
      <protection/>
    </xf>
    <xf numFmtId="4" fontId="120" fillId="0" borderId="0" xfId="849" applyNumberFormat="1" applyFont="1">
      <alignment/>
      <protection/>
    </xf>
    <xf numFmtId="170" fontId="3" fillId="0" borderId="51" xfId="847" applyNumberFormat="1" applyFont="1" applyBorder="1" applyAlignment="1">
      <alignment horizontal="right" vertical="top" wrapText="1"/>
      <protection/>
    </xf>
    <xf numFmtId="4" fontId="3" fillId="0" borderId="51" xfId="847" applyNumberFormat="1" applyFont="1" applyBorder="1" applyAlignment="1">
      <alignment horizontal="right" vertical="top" wrapText="1"/>
      <protection/>
    </xf>
    <xf numFmtId="170" fontId="3" fillId="0" borderId="51" xfId="849" applyNumberFormat="1" applyFont="1" applyFill="1" applyBorder="1" applyAlignment="1">
      <alignment horizontal="right" vertical="top" wrapText="1"/>
      <protection/>
    </xf>
    <xf numFmtId="4" fontId="3" fillId="0" borderId="51" xfId="849" applyNumberFormat="1" applyFont="1" applyFill="1" applyBorder="1" applyAlignment="1">
      <alignment horizontal="right" vertical="top" wrapText="1"/>
      <protection/>
    </xf>
    <xf numFmtId="0" fontId="3" fillId="97" borderId="50" xfId="849" applyFont="1" applyFill="1" applyBorder="1" applyAlignment="1">
      <alignment horizontal="left" vertical="top" wrapText="1"/>
      <protection/>
    </xf>
    <xf numFmtId="0" fontId="25" fillId="97" borderId="51" xfId="849" applyFont="1" applyFill="1" applyBorder="1" applyAlignment="1">
      <alignment horizontal="left" vertical="top" wrapText="1"/>
      <protection/>
    </xf>
    <xf numFmtId="0" fontId="25" fillId="97" borderId="51" xfId="849" applyFont="1" applyFill="1" applyBorder="1" applyAlignment="1">
      <alignment horizontal="center" vertical="top" wrapText="1"/>
      <protection/>
    </xf>
    <xf numFmtId="170" fontId="3" fillId="97" borderId="51" xfId="849" applyNumberFormat="1" applyFont="1" applyFill="1" applyBorder="1" applyAlignment="1">
      <alignment horizontal="right" vertical="top" wrapText="1"/>
      <protection/>
    </xf>
    <xf numFmtId="4" fontId="3" fillId="97" borderId="51" xfId="849" applyNumberFormat="1" applyFont="1" applyFill="1" applyBorder="1" applyAlignment="1">
      <alignment horizontal="right" vertical="top" wrapText="1"/>
      <protection/>
    </xf>
    <xf numFmtId="4" fontId="3" fillId="97" borderId="58" xfId="849" applyNumberFormat="1" applyFont="1" applyFill="1" applyBorder="1" applyAlignment="1">
      <alignment horizontal="right" vertical="top" wrapText="1"/>
      <protection/>
    </xf>
    <xf numFmtId="0" fontId="3" fillId="97" borderId="50" xfId="849" applyFont="1" applyFill="1" applyBorder="1" applyAlignment="1">
      <alignment horizontal="right" vertical="top" wrapText="1"/>
      <protection/>
    </xf>
    <xf numFmtId="0" fontId="3" fillId="97" borderId="51" xfId="849" applyFont="1" applyFill="1" applyBorder="1" applyAlignment="1">
      <alignment horizontal="left" vertical="top" wrapText="1"/>
      <protection/>
    </xf>
    <xf numFmtId="0" fontId="3" fillId="97" borderId="51" xfId="849" applyFont="1" applyFill="1" applyBorder="1" applyAlignment="1">
      <alignment horizontal="center" vertical="top" wrapText="1"/>
      <protection/>
    </xf>
    <xf numFmtId="4" fontId="3" fillId="97" borderId="58" xfId="849" applyNumberFormat="1" applyFont="1" applyFill="1" applyBorder="1" applyAlignment="1">
      <alignment horizontal="right" vertical="top"/>
      <protection/>
    </xf>
    <xf numFmtId="4" fontId="3" fillId="97" borderId="48" xfId="2256" applyNumberFormat="1" applyFont="1" applyFill="1" applyBorder="1" applyAlignment="1" applyProtection="1">
      <alignment horizontal="center" vertical="center" wrapText="1"/>
      <protection/>
    </xf>
    <xf numFmtId="0" fontId="3" fillId="0" borderId="0" xfId="849" applyFont="1">
      <alignment/>
      <protection/>
    </xf>
    <xf numFmtId="0" fontId="3" fillId="0" borderId="0" xfId="849" applyFont="1" applyFill="1" applyBorder="1">
      <alignment/>
      <protection/>
    </xf>
    <xf numFmtId="0" fontId="36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vertical="center"/>
      <protection/>
    </xf>
    <xf numFmtId="0" fontId="3" fillId="0" borderId="0" xfId="849" applyFont="1" applyAlignment="1">
      <alignment/>
      <protection/>
    </xf>
    <xf numFmtId="0" fontId="3" fillId="0" borderId="35" xfId="849" applyFont="1" applyBorder="1" applyAlignment="1">
      <alignment/>
      <protection/>
    </xf>
    <xf numFmtId="0" fontId="25" fillId="105" borderId="61" xfId="849" applyFont="1" applyFill="1" applyBorder="1" applyAlignment="1">
      <alignment horizontal="left" vertical="top" wrapText="1"/>
      <protection/>
    </xf>
    <xf numFmtId="0" fontId="25" fillId="105" borderId="62" xfId="849" applyFont="1" applyFill="1" applyBorder="1" applyAlignment="1">
      <alignment horizontal="left" vertical="top" wrapText="1"/>
      <protection/>
    </xf>
    <xf numFmtId="0" fontId="25" fillId="105" borderId="62" xfId="849" applyFont="1" applyFill="1" applyBorder="1" applyAlignment="1">
      <alignment horizontal="center" vertical="top" wrapText="1"/>
      <protection/>
    </xf>
    <xf numFmtId="170" fontId="25" fillId="105" borderId="62" xfId="849" applyNumberFormat="1" applyFont="1" applyFill="1" applyBorder="1" applyAlignment="1">
      <alignment horizontal="right" vertical="top" wrapText="1"/>
      <protection/>
    </xf>
    <xf numFmtId="4" fontId="25" fillId="105" borderId="62" xfId="849" applyNumberFormat="1" applyFont="1" applyFill="1" applyBorder="1" applyAlignment="1">
      <alignment horizontal="right" vertical="top" wrapText="1"/>
      <protection/>
    </xf>
    <xf numFmtId="4" fontId="25" fillId="105" borderId="63" xfId="849" applyNumberFormat="1" applyFont="1" applyFill="1" applyBorder="1" applyAlignment="1">
      <alignment horizontal="right" vertical="top"/>
      <protection/>
    </xf>
    <xf numFmtId="0" fontId="120" fillId="0" borderId="50" xfId="849" applyFont="1" applyBorder="1" applyAlignment="1">
      <alignment vertical="top" wrapText="1"/>
      <protection/>
    </xf>
    <xf numFmtId="0" fontId="120" fillId="0" borderId="64" xfId="849" applyFont="1" applyFill="1" applyBorder="1" applyAlignment="1">
      <alignment vertical="top" wrapText="1"/>
      <protection/>
    </xf>
    <xf numFmtId="0" fontId="115" fillId="0" borderId="50" xfId="849" applyFont="1" applyFill="1" applyBorder="1" applyAlignment="1">
      <alignment horizontal="left" vertical="top" wrapText="1"/>
      <protection/>
    </xf>
    <xf numFmtId="4" fontId="3" fillId="0" borderId="58" xfId="849" applyNumberFormat="1" applyFont="1" applyFill="1" applyBorder="1" applyAlignment="1">
      <alignment horizontal="right" vertical="top" wrapText="1"/>
      <protection/>
    </xf>
    <xf numFmtId="4" fontId="3" fillId="0" borderId="58" xfId="849" applyNumberFormat="1" applyFont="1" applyFill="1" applyBorder="1" applyAlignment="1">
      <alignment horizontal="right" vertical="top"/>
      <protection/>
    </xf>
    <xf numFmtId="0" fontId="115" fillId="0" borderId="50" xfId="849" applyFont="1" applyFill="1" applyBorder="1" applyAlignment="1">
      <alignment vertical="top" wrapText="1"/>
      <protection/>
    </xf>
    <xf numFmtId="0" fontId="3" fillId="0" borderId="50" xfId="849" applyFont="1" applyFill="1" applyBorder="1" applyAlignment="1">
      <alignment horizontal="right" vertical="top" wrapText="1"/>
      <protection/>
    </xf>
    <xf numFmtId="0" fontId="3" fillId="0" borderId="51" xfId="849" applyFont="1" applyFill="1" applyBorder="1" applyAlignment="1">
      <alignment horizontal="left" vertical="top" wrapText="1"/>
      <protection/>
    </xf>
    <xf numFmtId="0" fontId="118" fillId="0" borderId="50" xfId="849" applyFont="1" applyBorder="1" applyAlignment="1">
      <alignment horizontal="right" vertical="top" wrapText="1"/>
      <protection/>
    </xf>
    <xf numFmtId="0" fontId="113" fillId="99" borderId="65" xfId="0" applyFont="1" applyFill="1" applyBorder="1" applyAlignment="1">
      <alignment horizontal="center" vertical="center" wrapText="1"/>
    </xf>
    <xf numFmtId="0" fontId="113" fillId="99" borderId="54" xfId="0" applyFont="1" applyFill="1" applyBorder="1" applyAlignment="1">
      <alignment horizontal="center" vertical="center" wrapText="1"/>
    </xf>
    <xf numFmtId="0" fontId="3" fillId="27" borderId="28" xfId="830" applyNumberFormat="1" applyFont="1" applyFill="1" applyBorder="1" applyAlignment="1">
      <alignment horizontal="center" vertical="center"/>
      <protection/>
    </xf>
    <xf numFmtId="0" fontId="3" fillId="27" borderId="28" xfId="830" applyFont="1" applyFill="1" applyBorder="1" applyAlignment="1">
      <alignment horizontal="center" vertical="center"/>
      <protection/>
    </xf>
    <xf numFmtId="0" fontId="118" fillId="0" borderId="51" xfId="849" applyFont="1" applyBorder="1" applyAlignment="1">
      <alignment horizontal="left" vertical="top" wrapText="1"/>
      <protection/>
    </xf>
    <xf numFmtId="0" fontId="115" fillId="104" borderId="50" xfId="849" applyFont="1" applyFill="1" applyBorder="1" applyAlignment="1">
      <alignment horizontal="right" vertical="top" wrapText="1"/>
      <protection/>
    </xf>
    <xf numFmtId="0" fontId="115" fillId="104" borderId="51" xfId="849" applyFont="1" applyFill="1" applyBorder="1" applyAlignment="1">
      <alignment horizontal="right" vertical="top" wrapText="1"/>
      <protection/>
    </xf>
    <xf numFmtId="0" fontId="115" fillId="104" borderId="58" xfId="849" applyFont="1" applyFill="1" applyBorder="1" applyAlignment="1">
      <alignment horizontal="right" vertical="top" wrapText="1"/>
      <protection/>
    </xf>
    <xf numFmtId="0" fontId="115" fillId="104" borderId="52" xfId="849" applyFont="1" applyFill="1" applyBorder="1" applyAlignment="1">
      <alignment horizontal="right" vertical="top"/>
      <protection/>
    </xf>
    <xf numFmtId="0" fontId="115" fillId="104" borderId="53" xfId="849" applyFont="1" applyFill="1" applyBorder="1" applyAlignment="1">
      <alignment horizontal="right" vertical="top"/>
      <protection/>
    </xf>
    <xf numFmtId="0" fontId="115" fillId="104" borderId="59" xfId="849" applyFont="1" applyFill="1" applyBorder="1" applyAlignment="1">
      <alignment horizontal="right" vertical="top"/>
      <protection/>
    </xf>
    <xf numFmtId="0" fontId="118" fillId="0" borderId="51" xfId="849" applyFont="1" applyBorder="1" applyAlignment="1">
      <alignment horizontal="left" vertical="top" wrapText="1"/>
      <protection/>
    </xf>
    <xf numFmtId="4" fontId="3" fillId="0" borderId="35" xfId="0" applyNumberFormat="1" applyFont="1" applyFill="1" applyBorder="1" applyAlignment="1" applyProtection="1">
      <alignment horizontal="left" vertical="center" wrapText="1"/>
      <protection/>
    </xf>
    <xf numFmtId="0" fontId="3" fillId="97" borderId="35" xfId="0" applyFont="1" applyFill="1" applyBorder="1" applyAlignment="1" applyProtection="1">
      <alignment vertical="center" wrapText="1"/>
      <protection/>
    </xf>
    <xf numFmtId="4" fontId="3" fillId="97" borderId="35" xfId="2043" applyNumberFormat="1" applyFont="1" applyFill="1" applyBorder="1" applyAlignment="1" applyProtection="1">
      <alignment horizontal="center" vertical="center" wrapText="1"/>
      <protection/>
    </xf>
    <xf numFmtId="0" fontId="25" fillId="0" borderId="0" xfId="887" applyFont="1" applyFill="1" applyBorder="1" applyAlignment="1" applyProtection="1">
      <alignment horizontal="left" vertical="center" wrapText="1"/>
      <protection locked="0"/>
    </xf>
    <xf numFmtId="0" fontId="25" fillId="0" borderId="29" xfId="887" applyFont="1" applyFill="1" applyBorder="1" applyAlignment="1" applyProtection="1">
      <alignment horizontal="left" vertical="center" wrapText="1"/>
      <protection locked="0"/>
    </xf>
    <xf numFmtId="0" fontId="25" fillId="0" borderId="34" xfId="887" applyFont="1" applyFill="1" applyBorder="1" applyAlignment="1" applyProtection="1">
      <alignment horizontal="left" vertical="top" wrapText="1"/>
      <protection locked="0"/>
    </xf>
    <xf numFmtId="0" fontId="105" fillId="0" borderId="0" xfId="0" applyFont="1" applyFill="1" applyBorder="1" applyAlignment="1">
      <alignment vertical="center" wrapText="1"/>
    </xf>
    <xf numFmtId="179" fontId="115" fillId="0" borderId="0" xfId="849" applyNumberFormat="1" applyFont="1">
      <alignment/>
      <protection/>
    </xf>
    <xf numFmtId="170" fontId="115" fillId="0" borderId="0" xfId="849" applyNumberFormat="1" applyFont="1">
      <alignment/>
      <protection/>
    </xf>
    <xf numFmtId="180" fontId="115" fillId="0" borderId="0" xfId="849" applyNumberFormat="1" applyFont="1">
      <alignment/>
      <protection/>
    </xf>
    <xf numFmtId="4" fontId="25" fillId="0" borderId="0" xfId="898" applyNumberFormat="1" applyFont="1" applyBorder="1" applyAlignment="1" applyProtection="1">
      <alignment horizontal="left" vertical="top"/>
      <protection/>
    </xf>
    <xf numFmtId="0" fontId="25" fillId="102" borderId="48" xfId="887" applyFont="1" applyFill="1" applyBorder="1" applyAlignment="1" applyProtection="1">
      <alignment horizontal="left" vertical="center"/>
      <protection/>
    </xf>
    <xf numFmtId="0" fontId="3" fillId="0" borderId="35" xfId="0" applyFont="1" applyFill="1" applyBorder="1" applyAlignment="1">
      <alignment vertical="center" wrapText="1"/>
    </xf>
    <xf numFmtId="0" fontId="115" fillId="0" borderId="35" xfId="898" applyFont="1" applyFill="1" applyBorder="1" applyAlignment="1" applyProtection="1">
      <alignment horizontal="center" vertical="center" wrapText="1"/>
      <protection/>
    </xf>
    <xf numFmtId="49" fontId="26" fillId="0" borderId="47" xfId="0" applyNumberFormat="1" applyFont="1" applyFill="1" applyBorder="1" applyAlignment="1" applyProtection="1">
      <alignment vertical="center"/>
      <protection hidden="1"/>
    </xf>
    <xf numFmtId="178" fontId="0" fillId="0" borderId="0" xfId="0" applyNumberFormat="1" applyFill="1" applyBorder="1" applyAlignment="1">
      <alignment horizontal="left" vertical="center"/>
    </xf>
    <xf numFmtId="14" fontId="26" fillId="0" borderId="28" xfId="0" applyNumberFormat="1" applyFont="1" applyFill="1" applyBorder="1" applyAlignment="1" applyProtection="1">
      <alignment horizontal="left" vertical="center"/>
      <protection hidden="1"/>
    </xf>
    <xf numFmtId="0" fontId="113" fillId="99" borderId="28" xfId="0" applyFont="1" applyFill="1" applyBorder="1" applyAlignment="1">
      <alignment horizontal="center" vertical="center" wrapText="1"/>
    </xf>
    <xf numFmtId="0" fontId="113" fillId="99" borderId="31" xfId="0" applyFont="1" applyFill="1" applyBorder="1" applyAlignment="1">
      <alignment horizontal="center" vertical="center" wrapText="1"/>
    </xf>
    <xf numFmtId="0" fontId="113" fillId="99" borderId="36" xfId="0" applyFont="1" applyFill="1" applyBorder="1" applyAlignment="1">
      <alignment horizontal="center" vertical="center" wrapText="1"/>
    </xf>
    <xf numFmtId="0" fontId="113" fillId="99" borderId="28" xfId="0" applyFont="1" applyFill="1" applyBorder="1" applyAlignment="1">
      <alignment vertical="center" wrapText="1"/>
    </xf>
    <xf numFmtId="0" fontId="3" fillId="27" borderId="28" xfId="0" applyFont="1" applyFill="1" applyBorder="1" applyAlignment="1" applyProtection="1">
      <alignment vertical="center" wrapText="1"/>
      <protection/>
    </xf>
    <xf numFmtId="0" fontId="3" fillId="23" borderId="28" xfId="0" applyFont="1" applyFill="1" applyBorder="1" applyAlignment="1" applyProtection="1">
      <alignment vertical="center" wrapText="1"/>
      <protection/>
    </xf>
    <xf numFmtId="0" fontId="0" fillId="27" borderId="0" xfId="0" applyFill="1" applyBorder="1" applyAlignment="1">
      <alignment horizontal="left" vertical="center"/>
    </xf>
    <xf numFmtId="2" fontId="0" fillId="27" borderId="0" xfId="0" applyNumberFormat="1" applyFill="1" applyBorder="1" applyAlignment="1">
      <alignment horizontal="left" vertical="center"/>
    </xf>
    <xf numFmtId="2" fontId="0" fillId="27" borderId="0" xfId="0" applyNumberFormat="1" applyFont="1" applyFill="1" applyBorder="1" applyAlignment="1">
      <alignment horizontal="left" vertical="center"/>
    </xf>
    <xf numFmtId="0" fontId="118" fillId="0" borderId="51" xfId="849" applyFont="1" applyBorder="1" applyAlignment="1">
      <alignment horizontal="left" vertical="top" wrapText="1"/>
      <protection/>
    </xf>
    <xf numFmtId="0" fontId="115" fillId="104" borderId="52" xfId="849" applyFont="1" applyFill="1" applyBorder="1" applyAlignment="1">
      <alignment horizontal="right" vertical="top"/>
      <protection/>
    </xf>
    <xf numFmtId="0" fontId="115" fillId="104" borderId="53" xfId="849" applyFont="1" applyFill="1" applyBorder="1" applyAlignment="1">
      <alignment horizontal="right" vertical="top"/>
      <protection/>
    </xf>
    <xf numFmtId="0" fontId="115" fillId="104" borderId="59" xfId="849" applyFont="1" applyFill="1" applyBorder="1" applyAlignment="1">
      <alignment horizontal="right" vertical="top"/>
      <protection/>
    </xf>
    <xf numFmtId="0" fontId="115" fillId="104" borderId="50" xfId="849" applyFont="1" applyFill="1" applyBorder="1" applyAlignment="1">
      <alignment horizontal="right" vertical="top" wrapText="1"/>
      <protection/>
    </xf>
    <xf numFmtId="0" fontId="115" fillId="104" borderId="51" xfId="849" applyFont="1" applyFill="1" applyBorder="1" applyAlignment="1">
      <alignment horizontal="right" vertical="top" wrapText="1"/>
      <protection/>
    </xf>
    <xf numFmtId="0" fontId="115" fillId="0" borderId="50" xfId="849" applyFont="1" applyFill="1" applyBorder="1" applyAlignment="1">
      <alignment horizontal="right" vertical="top" wrapText="1"/>
      <protection/>
    </xf>
    <xf numFmtId="0" fontId="118" fillId="0" borderId="51" xfId="849" applyFont="1" applyBorder="1" applyAlignment="1">
      <alignment horizontal="left" vertical="top" wrapText="1"/>
      <protection/>
    </xf>
    <xf numFmtId="0" fontId="113" fillId="99" borderId="55" xfId="0" applyFont="1" applyFill="1" applyBorder="1" applyAlignment="1">
      <alignment horizontal="center" vertical="center" wrapText="1"/>
    </xf>
    <xf numFmtId="0" fontId="66" fillId="0" borderId="28" xfId="846" applyFont="1" applyFill="1" applyBorder="1" applyAlignment="1" applyProtection="1">
      <alignment horizontal="center" vertical="center" wrapText="1"/>
      <protection/>
    </xf>
    <xf numFmtId="0" fontId="113" fillId="99" borderId="30" xfId="0" applyFont="1" applyFill="1" applyBorder="1" applyAlignment="1">
      <alignment horizontal="center" vertical="center" wrapText="1"/>
    </xf>
    <xf numFmtId="0" fontId="118" fillId="0" borderId="66" xfId="849" applyFont="1" applyBorder="1" applyAlignment="1">
      <alignment horizontal="left" vertical="top" wrapText="1"/>
      <protection/>
    </xf>
    <xf numFmtId="0" fontId="118" fillId="0" borderId="0" xfId="849" applyFont="1" applyBorder="1" applyAlignment="1">
      <alignment horizontal="left" vertical="top" wrapText="1"/>
      <protection/>
    </xf>
    <xf numFmtId="0" fontId="118" fillId="0" borderId="0" xfId="849" applyFont="1" applyBorder="1" applyAlignment="1">
      <alignment horizontal="center" vertical="top" wrapText="1"/>
      <protection/>
    </xf>
    <xf numFmtId="170" fontId="120" fillId="0" borderId="0" xfId="849" applyNumberFormat="1" applyFont="1" applyBorder="1" applyAlignment="1">
      <alignment vertical="top" wrapText="1"/>
      <protection/>
    </xf>
    <xf numFmtId="170" fontId="120" fillId="0" borderId="67" xfId="849" applyNumberFormat="1" applyFont="1" applyBorder="1" applyAlignment="1">
      <alignment vertical="top" wrapText="1"/>
      <protection/>
    </xf>
    <xf numFmtId="0" fontId="39" fillId="97" borderId="0" xfId="0" applyFont="1" applyFill="1" applyBorder="1" applyAlignment="1" applyProtection="1">
      <alignment vertical="center" wrapText="1"/>
      <protection/>
    </xf>
    <xf numFmtId="0" fontId="39" fillId="97" borderId="33" xfId="0" applyFont="1" applyFill="1" applyBorder="1" applyAlignment="1" applyProtection="1">
      <alignment vertical="center" wrapText="1"/>
      <protection/>
    </xf>
    <xf numFmtId="2" fontId="38" fillId="97" borderId="0" xfId="0" applyNumberFormat="1" applyFont="1" applyFill="1" applyBorder="1" applyAlignment="1" applyProtection="1">
      <alignment horizontal="center" vertical="center" wrapText="1"/>
      <protection/>
    </xf>
    <xf numFmtId="44" fontId="39" fillId="97" borderId="0" xfId="684" applyFont="1" applyFill="1" applyBorder="1" applyAlignment="1" applyProtection="1">
      <alignment vertical="center" wrapText="1"/>
      <protection/>
    </xf>
    <xf numFmtId="0" fontId="39" fillId="0" borderId="0" xfId="0" applyFont="1" applyAlignment="1">
      <alignment vertical="center"/>
    </xf>
    <xf numFmtId="0" fontId="3" fillId="98" borderId="28" xfId="0" applyFont="1" applyFill="1" applyBorder="1" applyAlignment="1">
      <alignment vertical="center" wrapText="1"/>
    </xf>
    <xf numFmtId="0" fontId="115" fillId="104" borderId="0" xfId="849" applyFont="1" applyFill="1" applyBorder="1" applyAlignment="1">
      <alignment horizontal="right" vertical="top"/>
      <protection/>
    </xf>
    <xf numFmtId="4" fontId="3" fillId="0" borderId="48" xfId="2043" applyNumberFormat="1" applyFont="1" applyFill="1" applyBorder="1" applyAlignment="1" applyProtection="1">
      <alignment horizontal="center" vertical="center" wrapText="1"/>
      <protection/>
    </xf>
    <xf numFmtId="14" fontId="26" fillId="0" borderId="47" xfId="0" applyNumberFormat="1" applyFont="1" applyFill="1" applyBorder="1" applyAlignment="1" applyProtection="1">
      <alignment horizontal="left" vertical="center"/>
      <protection hidden="1"/>
    </xf>
    <xf numFmtId="49" fontId="26" fillId="97" borderId="47" xfId="0" applyNumberFormat="1" applyFont="1" applyFill="1" applyBorder="1" applyAlignment="1" applyProtection="1">
      <alignment horizontal="left" vertical="center"/>
      <protection hidden="1"/>
    </xf>
    <xf numFmtId="0" fontId="114" fillId="100" borderId="54" xfId="0" applyFont="1" applyFill="1" applyBorder="1" applyAlignment="1">
      <alignment horizontal="center" vertical="center" wrapText="1"/>
    </xf>
    <xf numFmtId="0" fontId="114" fillId="100" borderId="54" xfId="0" applyFont="1" applyFill="1" applyBorder="1" applyAlignment="1">
      <alignment horizontal="center" vertical="center" wrapText="1"/>
    </xf>
    <xf numFmtId="0" fontId="25" fillId="102" borderId="47" xfId="898" applyFont="1" applyFill="1" applyBorder="1" applyAlignment="1" applyProtection="1">
      <alignment horizontal="center" vertical="center"/>
      <protection/>
    </xf>
    <xf numFmtId="0" fontId="25" fillId="102" borderId="48" xfId="898" applyFont="1" applyFill="1" applyBorder="1" applyAlignment="1" applyProtection="1">
      <alignment horizontal="center" vertical="center"/>
      <protection/>
    </xf>
    <xf numFmtId="0" fontId="25" fillId="102" borderId="37" xfId="898" applyFont="1" applyFill="1" applyBorder="1" applyAlignment="1" applyProtection="1">
      <alignment horizontal="center" vertical="center"/>
      <protection/>
    </xf>
    <xf numFmtId="0" fontId="116" fillId="107" borderId="0" xfId="830" applyNumberFormat="1" applyFont="1" applyFill="1" applyBorder="1" applyAlignment="1">
      <alignment horizontal="center" vertical="center"/>
      <protection/>
    </xf>
    <xf numFmtId="0" fontId="116" fillId="107" borderId="30" xfId="830" applyFont="1" applyFill="1" applyBorder="1" applyAlignment="1">
      <alignment horizontal="center" vertical="center" wrapText="1"/>
      <protection/>
    </xf>
    <xf numFmtId="0" fontId="116" fillId="107" borderId="48" xfId="830" applyNumberFormat="1" applyFont="1" applyFill="1" applyBorder="1" applyAlignment="1">
      <alignment horizontal="center" vertical="center"/>
      <protection/>
    </xf>
    <xf numFmtId="0" fontId="3" fillId="97" borderId="0" xfId="956" applyFont="1" applyFill="1" applyBorder="1" applyAlignment="1">
      <alignment vertical="center" wrapText="1"/>
      <protection/>
    </xf>
    <xf numFmtId="10" fontId="0" fillId="108" borderId="0" xfId="0" applyNumberFormat="1" applyFill="1" applyBorder="1" applyAlignment="1">
      <alignment horizontal="left" vertical="center"/>
    </xf>
    <xf numFmtId="0" fontId="116" fillId="107" borderId="0" xfId="830" applyNumberFormat="1" applyFont="1" applyFill="1" applyBorder="1" applyAlignment="1">
      <alignment horizontal="left" vertical="center"/>
      <protection/>
    </xf>
    <xf numFmtId="0" fontId="116" fillId="107" borderId="0" xfId="830" applyNumberFormat="1" applyFont="1" applyFill="1" applyBorder="1" applyAlignment="1">
      <alignment horizontal="left" vertical="center"/>
      <protection/>
    </xf>
    <xf numFmtId="0" fontId="3" fillId="0" borderId="48" xfId="956" applyFont="1" applyFill="1" applyBorder="1" applyAlignment="1">
      <alignment vertical="center" wrapText="1"/>
      <protection/>
    </xf>
    <xf numFmtId="0" fontId="25" fillId="102" borderId="0" xfId="830" applyNumberFormat="1" applyFont="1" applyFill="1" applyBorder="1" applyAlignment="1">
      <alignment horizontal="center" vertical="center"/>
      <protection/>
    </xf>
    <xf numFmtId="0" fontId="3" fillId="102" borderId="0" xfId="830" applyNumberFormat="1" applyFont="1" applyFill="1" applyBorder="1" applyAlignment="1">
      <alignment horizontal="center" vertical="center"/>
      <protection/>
    </xf>
    <xf numFmtId="0" fontId="3" fillId="102" borderId="0" xfId="830" applyNumberFormat="1" applyFont="1" applyFill="1" applyBorder="1" applyAlignment="1">
      <alignment horizontal="left" vertical="center"/>
      <protection/>
    </xf>
    <xf numFmtId="0" fontId="3" fillId="102" borderId="48" xfId="830" applyNumberFormat="1" applyFont="1" applyFill="1" applyBorder="1" applyAlignment="1">
      <alignment horizontal="center" vertical="center"/>
      <protection/>
    </xf>
    <xf numFmtId="0" fontId="3" fillId="97" borderId="30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horizontal="left" vertical="center"/>
    </xf>
    <xf numFmtId="0" fontId="3" fillId="102" borderId="48" xfId="830" applyNumberFormat="1" applyFont="1" applyFill="1" applyBorder="1" applyAlignment="1">
      <alignment horizontal="left" vertical="center"/>
      <protection/>
    </xf>
    <xf numFmtId="0" fontId="3" fillId="97" borderId="35" xfId="0" applyFont="1" applyFill="1" applyBorder="1" applyAlignment="1">
      <alignment vertical="center" wrapText="1"/>
    </xf>
    <xf numFmtId="0" fontId="25" fillId="102" borderId="47" xfId="887" applyFont="1" applyFill="1" applyBorder="1" applyAlignment="1" applyProtection="1">
      <alignment horizontal="center" vertical="center"/>
      <protection/>
    </xf>
    <xf numFmtId="0" fontId="115" fillId="104" borderId="52" xfId="849" applyFont="1" applyFill="1" applyBorder="1" applyAlignment="1">
      <alignment horizontal="right" vertical="top"/>
      <protection/>
    </xf>
    <xf numFmtId="0" fontId="115" fillId="104" borderId="53" xfId="849" applyFont="1" applyFill="1" applyBorder="1" applyAlignment="1">
      <alignment horizontal="right" vertical="top"/>
      <protection/>
    </xf>
    <xf numFmtId="0" fontId="115" fillId="104" borderId="59" xfId="849" applyFont="1" applyFill="1" applyBorder="1" applyAlignment="1">
      <alignment horizontal="right" vertical="top"/>
      <protection/>
    </xf>
    <xf numFmtId="0" fontId="120" fillId="0" borderId="51" xfId="849" applyFont="1" applyBorder="1" applyAlignment="1">
      <alignment vertical="top" wrapText="1"/>
      <protection/>
    </xf>
    <xf numFmtId="0" fontId="120" fillId="0" borderId="58" xfId="849" applyFont="1" applyBorder="1" applyAlignment="1">
      <alignment vertical="top" wrapText="1"/>
      <protection/>
    </xf>
    <xf numFmtId="0" fontId="115" fillId="104" borderId="50" xfId="849" applyFont="1" applyFill="1" applyBorder="1" applyAlignment="1">
      <alignment horizontal="right" vertical="top" wrapText="1"/>
      <protection/>
    </xf>
    <xf numFmtId="0" fontId="115" fillId="104" borderId="51" xfId="849" applyFont="1" applyFill="1" applyBorder="1" applyAlignment="1">
      <alignment horizontal="right" vertical="top" wrapText="1"/>
      <protection/>
    </xf>
    <xf numFmtId="0" fontId="115" fillId="104" borderId="58" xfId="849" applyFont="1" applyFill="1" applyBorder="1" applyAlignment="1">
      <alignment horizontal="right" vertical="top" wrapText="1"/>
      <protection/>
    </xf>
    <xf numFmtId="0" fontId="115" fillId="0" borderId="50" xfId="849" applyFont="1" applyBorder="1" applyAlignment="1">
      <alignment vertical="top" wrapText="1"/>
      <protection/>
    </xf>
    <xf numFmtId="0" fontId="115" fillId="0" borderId="51" xfId="849" applyFont="1" applyBorder="1" applyAlignment="1">
      <alignment vertical="top" wrapText="1"/>
      <protection/>
    </xf>
    <xf numFmtId="0" fontId="115" fillId="0" borderId="58" xfId="849" applyFont="1" applyBorder="1" applyAlignment="1">
      <alignment vertical="top" wrapText="1"/>
      <protection/>
    </xf>
    <xf numFmtId="0" fontId="118" fillId="0" borderId="51" xfId="849" applyFont="1" applyBorder="1" applyAlignment="1">
      <alignment horizontal="left" vertical="top" wrapText="1"/>
      <protection/>
    </xf>
    <xf numFmtId="0" fontId="118" fillId="0" borderId="58" xfId="849" applyFont="1" applyBorder="1" applyAlignment="1">
      <alignment horizontal="left" vertical="top" wrapText="1"/>
      <protection/>
    </xf>
    <xf numFmtId="0" fontId="115" fillId="0" borderId="52" xfId="849" applyFont="1" applyBorder="1" applyAlignment="1">
      <alignment vertical="top" wrapText="1"/>
      <protection/>
    </xf>
    <xf numFmtId="0" fontId="115" fillId="0" borderId="53" xfId="849" applyFont="1" applyBorder="1" applyAlignment="1">
      <alignment vertical="top" wrapText="1"/>
      <protection/>
    </xf>
    <xf numFmtId="0" fontId="115" fillId="0" borderId="60" xfId="849" applyFont="1" applyBorder="1" applyAlignment="1">
      <alignment vertical="top" wrapText="1"/>
      <protection/>
    </xf>
    <xf numFmtId="0" fontId="118" fillId="0" borderId="57" xfId="849" applyFont="1" applyBorder="1" applyAlignment="1">
      <alignment horizontal="left" vertical="top" wrapText="1"/>
      <protection/>
    </xf>
    <xf numFmtId="0" fontId="3" fillId="0" borderId="35" xfId="830" applyFont="1" applyFill="1" applyBorder="1" applyAlignment="1">
      <alignment vertical="center"/>
      <protection/>
    </xf>
    <xf numFmtId="10" fontId="4" fillId="0" borderId="0" xfId="0" applyNumberFormat="1" applyFont="1" applyFill="1" applyBorder="1" applyAlignment="1">
      <alignment horizontal="left" vertical="center"/>
    </xf>
    <xf numFmtId="0" fontId="3" fillId="108" borderId="28" xfId="0" applyFont="1" applyFill="1" applyBorder="1" applyAlignment="1">
      <alignment vertical="center" wrapText="1"/>
    </xf>
    <xf numFmtId="0" fontId="3" fillId="108" borderId="28" xfId="0" applyFont="1" applyFill="1" applyBorder="1" applyAlignment="1" applyProtection="1">
      <alignment vertical="center" wrapText="1"/>
      <protection/>
    </xf>
    <xf numFmtId="0" fontId="3" fillId="108" borderId="28" xfId="0" applyFont="1" applyFill="1" applyBorder="1" applyAlignment="1" applyProtection="1" quotePrefix="1">
      <alignment vertical="center" wrapText="1"/>
      <protection/>
    </xf>
    <xf numFmtId="0" fontId="3" fillId="103" borderId="0" xfId="830" applyNumberFormat="1" applyFont="1" applyFill="1" applyBorder="1" applyAlignment="1">
      <alignment horizontal="center" vertical="center"/>
      <protection/>
    </xf>
    <xf numFmtId="0" fontId="3" fillId="103" borderId="0" xfId="830" applyFont="1" applyFill="1" applyBorder="1" applyAlignment="1">
      <alignment vertical="center" wrapText="1"/>
      <protection/>
    </xf>
    <xf numFmtId="0" fontId="68" fillId="96" borderId="0" xfId="0" applyFont="1" applyFill="1" applyBorder="1" applyAlignment="1">
      <alignment horizontal="left" vertical="center"/>
    </xf>
    <xf numFmtId="0" fontId="3" fillId="96" borderId="28" xfId="0" applyFont="1" applyFill="1" applyBorder="1" applyAlignment="1">
      <alignment vertical="center" wrapText="1"/>
    </xf>
    <xf numFmtId="10" fontId="0" fillId="96" borderId="0" xfId="0" applyNumberFormat="1" applyFill="1" applyBorder="1" applyAlignment="1">
      <alignment horizontal="left" vertical="center"/>
    </xf>
    <xf numFmtId="0" fontId="21" fillId="96" borderId="0" xfId="0" applyFont="1" applyFill="1" applyAlignment="1" applyProtection="1">
      <alignment/>
      <protection/>
    </xf>
    <xf numFmtId="0" fontId="0" fillId="96" borderId="0" xfId="0" applyFill="1" applyBorder="1" applyAlignment="1">
      <alignment horizontal="left" vertical="center"/>
    </xf>
    <xf numFmtId="178" fontId="0" fillId="96" borderId="0" xfId="0" applyNumberFormat="1" applyFill="1" applyBorder="1" applyAlignment="1">
      <alignment horizontal="left" vertical="center"/>
    </xf>
    <xf numFmtId="0" fontId="3" fillId="0" borderId="48" xfId="669" applyFont="1" applyFill="1" applyBorder="1" applyAlignment="1" applyProtection="1">
      <alignment horizontal="left" vertical="center" wrapText="1"/>
      <protection/>
    </xf>
    <xf numFmtId="2" fontId="3" fillId="0" borderId="35" xfId="0" applyNumberFormat="1" applyFont="1" applyFill="1" applyBorder="1" applyAlignment="1" applyProtection="1">
      <alignment horizontal="center" vertical="center" wrapText="1"/>
      <protection/>
    </xf>
    <xf numFmtId="0" fontId="116" fillId="109" borderId="48" xfId="0" applyFont="1" applyFill="1" applyBorder="1" applyAlignment="1">
      <alignment horizontal="center" vertical="center" wrapText="1"/>
    </xf>
    <xf numFmtId="0" fontId="116" fillId="109" borderId="48" xfId="0" applyFont="1" applyFill="1" applyBorder="1" applyAlignment="1">
      <alignment vertical="center" wrapText="1"/>
    </xf>
    <xf numFmtId="0" fontId="117" fillId="109" borderId="48" xfId="0" applyFont="1" applyFill="1" applyBorder="1" applyAlignment="1">
      <alignment horizontal="center" vertical="center" wrapText="1"/>
    </xf>
    <xf numFmtId="178" fontId="117" fillId="109" borderId="48" xfId="0" applyNumberFormat="1" applyFont="1" applyFill="1" applyBorder="1" applyAlignment="1">
      <alignment horizontal="center" vertical="center" wrapText="1"/>
    </xf>
    <xf numFmtId="0" fontId="116" fillId="107" borderId="48" xfId="830" applyNumberFormat="1" applyFont="1" applyFill="1" applyBorder="1" applyAlignment="1">
      <alignment horizontal="left" vertical="center"/>
      <protection/>
    </xf>
    <xf numFmtId="0" fontId="3" fillId="0" borderId="3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 applyProtection="1">
      <alignment vertical="center" wrapText="1"/>
      <protection/>
    </xf>
    <xf numFmtId="0" fontId="3" fillId="0" borderId="30" xfId="0" applyFont="1" applyFill="1" applyBorder="1" applyAlignment="1">
      <alignment vertical="center" wrapText="1"/>
    </xf>
    <xf numFmtId="2" fontId="3" fillId="0" borderId="30" xfId="0" applyNumberFormat="1" applyFont="1" applyFill="1" applyBorder="1" applyAlignment="1">
      <alignment horizontal="center" vertical="center" wrapText="1"/>
    </xf>
    <xf numFmtId="0" fontId="3" fillId="99" borderId="35" xfId="0" applyFont="1" applyFill="1" applyBorder="1" applyAlignment="1">
      <alignment horizontal="center" vertical="center" wrapText="1"/>
    </xf>
    <xf numFmtId="4" fontId="3" fillId="99" borderId="35" xfId="0" applyNumberFormat="1" applyFont="1" applyFill="1" applyBorder="1" applyAlignment="1" applyProtection="1">
      <alignment horizontal="left" vertical="center" wrapText="1"/>
      <protection/>
    </xf>
    <xf numFmtId="0" fontId="3" fillId="99" borderId="35" xfId="0" applyFont="1" applyFill="1" applyBorder="1" applyAlignment="1">
      <alignment vertical="center" wrapText="1"/>
    </xf>
    <xf numFmtId="2" fontId="3" fillId="99" borderId="35" xfId="0" applyNumberFormat="1" applyFont="1" applyFill="1" applyBorder="1" applyAlignment="1">
      <alignment horizontal="center" vertical="center" wrapText="1"/>
    </xf>
    <xf numFmtId="0" fontId="115" fillId="99" borderId="35" xfId="898" applyFont="1" applyFill="1" applyBorder="1" applyAlignment="1" applyProtection="1">
      <alignment horizontal="center" vertical="center" wrapText="1"/>
      <protection/>
    </xf>
    <xf numFmtId="178" fontId="118" fillId="99" borderId="35" xfId="898" applyNumberFormat="1" applyFont="1" applyFill="1" applyBorder="1" applyAlignment="1" applyProtection="1">
      <alignment horizontal="center" vertical="center" wrapText="1"/>
      <protection/>
    </xf>
    <xf numFmtId="178" fontId="25" fillId="99" borderId="35" xfId="2043" applyNumberFormat="1" applyFont="1" applyFill="1" applyBorder="1" applyAlignment="1">
      <alignment horizontal="center" vertical="center" wrapText="1"/>
    </xf>
    <xf numFmtId="10" fontId="0" fillId="98" borderId="0" xfId="0" applyNumberFormat="1" applyFill="1" applyBorder="1" applyAlignment="1">
      <alignment horizontal="left" vertical="center"/>
    </xf>
    <xf numFmtId="0" fontId="0" fillId="98" borderId="68" xfId="0" applyFill="1" applyBorder="1" applyAlignment="1">
      <alignment horizontal="left" vertical="center"/>
    </xf>
    <xf numFmtId="0" fontId="116" fillId="109" borderId="30" xfId="0" applyFont="1" applyFill="1" applyBorder="1" applyAlignment="1">
      <alignment horizontal="center" vertical="center" wrapText="1"/>
    </xf>
    <xf numFmtId="0" fontId="116" fillId="109" borderId="30" xfId="0" applyFont="1" applyFill="1" applyBorder="1" applyAlignment="1">
      <alignment vertical="center" wrapText="1"/>
    </xf>
    <xf numFmtId="0" fontId="117" fillId="109" borderId="30" xfId="0" applyFont="1" applyFill="1" applyBorder="1" applyAlignment="1">
      <alignment horizontal="center" vertical="center" wrapText="1"/>
    </xf>
    <xf numFmtId="178" fontId="117" fillId="109" borderId="30" xfId="0" applyNumberFormat="1" applyFont="1" applyFill="1" applyBorder="1" applyAlignment="1">
      <alignment horizontal="center" vertical="center" wrapText="1"/>
    </xf>
    <xf numFmtId="0" fontId="3" fillId="102" borderId="37" xfId="830" applyNumberFormat="1" applyFont="1" applyFill="1" applyBorder="1" applyAlignment="1">
      <alignment horizontal="center" vertical="center"/>
      <protection/>
    </xf>
    <xf numFmtId="49" fontId="3" fillId="0" borderId="35" xfId="898" applyNumberFormat="1" applyFont="1" applyFill="1" applyBorder="1" applyAlignment="1" applyProtection="1">
      <alignment horizontal="center" vertical="center"/>
      <protection/>
    </xf>
    <xf numFmtId="0" fontId="116" fillId="107" borderId="37" xfId="830" applyNumberFormat="1" applyFont="1" applyFill="1" applyBorder="1" applyAlignment="1">
      <alignment horizontal="center" vertical="center"/>
      <protection/>
    </xf>
    <xf numFmtId="0" fontId="3" fillId="27" borderId="48" xfId="830" applyNumberFormat="1" applyFont="1" applyFill="1" applyBorder="1" applyAlignment="1">
      <alignment horizontal="center" vertical="center"/>
      <protection/>
    </xf>
    <xf numFmtId="49" fontId="3" fillId="27" borderId="48" xfId="898" applyNumberFormat="1" applyFont="1" applyFill="1" applyBorder="1" applyAlignment="1" applyProtection="1">
      <alignment horizontal="center" vertical="center"/>
      <protection/>
    </xf>
    <xf numFmtId="178" fontId="3" fillId="27" borderId="36" xfId="2043" applyNumberFormat="1" applyFont="1" applyFill="1" applyBorder="1" applyAlignment="1">
      <alignment horizontal="center" vertical="center" wrapText="1"/>
    </xf>
    <xf numFmtId="178" fontId="3" fillId="27" borderId="35" xfId="2043" applyNumberFormat="1" applyFont="1" applyFill="1" applyBorder="1" applyAlignment="1">
      <alignment horizontal="center" vertical="center" wrapText="1"/>
    </xf>
    <xf numFmtId="178" fontId="3" fillId="27" borderId="55" xfId="2043" applyNumberFormat="1" applyFont="1" applyFill="1" applyBorder="1" applyAlignment="1">
      <alignment horizontal="center" vertical="center" wrapText="1"/>
    </xf>
    <xf numFmtId="0" fontId="3" fillId="27" borderId="48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vertical="center" wrapText="1"/>
    </xf>
    <xf numFmtId="2" fontId="3" fillId="0" borderId="69" xfId="0" applyNumberFormat="1" applyFont="1" applyFill="1" applyBorder="1" applyAlignment="1">
      <alignment horizontal="center" vertical="center" wrapText="1"/>
    </xf>
    <xf numFmtId="178" fontId="3" fillId="0" borderId="69" xfId="2043" applyNumberFormat="1" applyFont="1" applyFill="1" applyBorder="1" applyAlignment="1">
      <alignment horizontal="center" vertical="center" wrapText="1"/>
    </xf>
    <xf numFmtId="178" fontId="117" fillId="109" borderId="37" xfId="0" applyNumberFormat="1" applyFont="1" applyFill="1" applyBorder="1" applyAlignment="1">
      <alignment horizontal="center" vertical="center" wrapText="1"/>
    </xf>
    <xf numFmtId="178" fontId="3" fillId="0" borderId="37" xfId="2043" applyNumberFormat="1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3" fillId="0" borderId="30" xfId="0" applyFont="1" applyFill="1" applyBorder="1" applyAlignment="1" applyProtection="1">
      <alignment horizontal="left" vertical="center" wrapText="1"/>
      <protection/>
    </xf>
    <xf numFmtId="0" fontId="3" fillId="103" borderId="48" xfId="830" applyNumberFormat="1" applyFont="1" applyFill="1" applyBorder="1" applyAlignment="1">
      <alignment horizontal="center" vertical="center"/>
      <protection/>
    </xf>
    <xf numFmtId="0" fontId="3" fillId="103" borderId="48" xfId="830" applyFont="1" applyFill="1" applyBorder="1" applyAlignment="1">
      <alignment vertical="center" wrapText="1"/>
      <protection/>
    </xf>
    <xf numFmtId="178" fontId="3" fillId="102" borderId="37" xfId="2043" applyNumberFormat="1" applyFont="1" applyFill="1" applyBorder="1" applyAlignment="1">
      <alignment horizontal="center" vertical="center" wrapText="1"/>
    </xf>
    <xf numFmtId="0" fontId="3" fillId="103" borderId="35" xfId="830" applyNumberFormat="1" applyFont="1" applyFill="1" applyBorder="1" applyAlignment="1">
      <alignment horizontal="center" vertical="center"/>
      <protection/>
    </xf>
    <xf numFmtId="4" fontId="3" fillId="102" borderId="35" xfId="0" applyNumberFormat="1" applyFont="1" applyFill="1" applyBorder="1" applyAlignment="1" applyProtection="1">
      <alignment horizontal="left" vertical="center" wrapText="1"/>
      <protection/>
    </xf>
    <xf numFmtId="0" fontId="3" fillId="103" borderId="35" xfId="830" applyFont="1" applyFill="1" applyBorder="1" applyAlignment="1">
      <alignment vertical="center" wrapText="1"/>
      <protection/>
    </xf>
    <xf numFmtId="2" fontId="3" fillId="102" borderId="35" xfId="0" applyNumberFormat="1" applyFont="1" applyFill="1" applyBorder="1" applyAlignment="1">
      <alignment horizontal="center" vertical="center" wrapText="1"/>
    </xf>
    <xf numFmtId="0" fontId="3" fillId="102" borderId="35" xfId="0" applyFont="1" applyFill="1" applyBorder="1" applyAlignment="1">
      <alignment horizontal="center" vertical="center" wrapText="1"/>
    </xf>
    <xf numFmtId="178" fontId="3" fillId="102" borderId="35" xfId="2043" applyNumberFormat="1" applyFont="1" applyFill="1" applyBorder="1" applyAlignment="1">
      <alignment horizontal="center" vertical="center" wrapText="1"/>
    </xf>
    <xf numFmtId="178" fontId="3" fillId="102" borderId="36" xfId="2043" applyNumberFormat="1" applyFont="1" applyFill="1" applyBorder="1" applyAlignment="1">
      <alignment horizontal="center" vertical="center" wrapText="1"/>
    </xf>
    <xf numFmtId="0" fontId="116" fillId="107" borderId="37" xfId="830" applyNumberFormat="1" applyFont="1" applyFill="1" applyBorder="1" applyAlignment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37" xfId="0" applyFont="1" applyFill="1" applyBorder="1" applyAlignment="1">
      <alignment vertical="center" wrapText="1"/>
    </xf>
    <xf numFmtId="0" fontId="115" fillId="0" borderId="48" xfId="849" applyFont="1" applyBorder="1" applyAlignment="1">
      <alignment horizontal="left" vertical="top" wrapText="1"/>
      <protection/>
    </xf>
    <xf numFmtId="0" fontId="3" fillId="103" borderId="0" xfId="830" applyNumberFormat="1" applyFont="1" applyFill="1" applyBorder="1" applyAlignment="1">
      <alignment horizontal="left" vertical="center"/>
      <protection/>
    </xf>
    <xf numFmtId="178" fontId="115" fillId="0" borderId="48" xfId="898" applyNumberFormat="1" applyFont="1" applyFill="1" applyBorder="1" applyAlignment="1" applyProtection="1">
      <alignment horizontal="center" vertical="center" wrapText="1"/>
      <protection/>
    </xf>
    <xf numFmtId="0" fontId="3" fillId="100" borderId="35" xfId="0" applyFont="1" applyFill="1" applyBorder="1" applyAlignment="1">
      <alignment horizontal="center" vertical="center" wrapText="1"/>
    </xf>
    <xf numFmtId="4" fontId="3" fillId="100" borderId="35" xfId="0" applyNumberFormat="1" applyFont="1" applyFill="1" applyBorder="1" applyAlignment="1" applyProtection="1">
      <alignment horizontal="left" vertical="center" wrapText="1"/>
      <protection/>
    </xf>
    <xf numFmtId="0" fontId="3" fillId="100" borderId="35" xfId="0" applyFont="1" applyFill="1" applyBorder="1" applyAlignment="1">
      <alignment vertical="center" wrapText="1"/>
    </xf>
    <xf numFmtId="2" fontId="3" fillId="100" borderId="35" xfId="0" applyNumberFormat="1" applyFont="1" applyFill="1" applyBorder="1" applyAlignment="1">
      <alignment horizontal="center" vertical="center" wrapText="1"/>
    </xf>
    <xf numFmtId="0" fontId="115" fillId="100" borderId="35" xfId="898" applyFont="1" applyFill="1" applyBorder="1" applyAlignment="1" applyProtection="1">
      <alignment horizontal="center" vertical="center" wrapText="1"/>
      <protection/>
    </xf>
    <xf numFmtId="178" fontId="118" fillId="100" borderId="35" xfId="898" applyNumberFormat="1" applyFont="1" applyFill="1" applyBorder="1" applyAlignment="1" applyProtection="1">
      <alignment horizontal="center" vertical="center" wrapText="1"/>
      <protection/>
    </xf>
    <xf numFmtId="178" fontId="25" fillId="100" borderId="35" xfId="2043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left" vertical="center"/>
    </xf>
    <xf numFmtId="0" fontId="3" fillId="0" borderId="69" xfId="0" applyFont="1" applyFill="1" applyBorder="1" applyAlignment="1">
      <alignment horizontal="center" vertical="center" wrapText="1"/>
    </xf>
    <xf numFmtId="178" fontId="3" fillId="0" borderId="70" xfId="2043" applyNumberFormat="1" applyFont="1" applyFill="1" applyBorder="1" applyAlignment="1">
      <alignment horizontal="center" vertical="center" wrapText="1"/>
    </xf>
    <xf numFmtId="0" fontId="115" fillId="0" borderId="35" xfId="0" applyFont="1" applyFill="1" applyBorder="1" applyAlignment="1">
      <alignment horizontal="left" vertical="center" wrapText="1"/>
    </xf>
    <xf numFmtId="0" fontId="3" fillId="102" borderId="37" xfId="830" applyNumberFormat="1" applyFont="1" applyFill="1" applyBorder="1" applyAlignment="1">
      <alignment horizontal="left" vertical="center"/>
      <protection/>
    </xf>
    <xf numFmtId="0" fontId="25" fillId="102" borderId="48" xfId="830" applyNumberFormat="1" applyFont="1" applyFill="1" applyBorder="1" applyAlignment="1">
      <alignment horizontal="center" vertical="center"/>
      <protection/>
    </xf>
    <xf numFmtId="0" fontId="25" fillId="102" borderId="37" xfId="830" applyNumberFormat="1" applyFont="1" applyFill="1" applyBorder="1" applyAlignment="1">
      <alignment horizontal="center" vertical="center"/>
      <protection/>
    </xf>
    <xf numFmtId="0" fontId="116" fillId="107" borderId="48" xfId="830" applyNumberFormat="1" applyFont="1" applyFill="1" applyBorder="1" applyAlignment="1">
      <alignment horizontal="left" vertical="center"/>
      <protection/>
    </xf>
    <xf numFmtId="178" fontId="116" fillId="107" borderId="37" xfId="830" applyNumberFormat="1" applyFont="1" applyFill="1" applyBorder="1" applyAlignment="1">
      <alignment horizontal="center" vertical="center"/>
      <protection/>
    </xf>
    <xf numFmtId="0" fontId="115" fillId="0" borderId="30" xfId="0" applyFont="1" applyFill="1" applyBorder="1" applyAlignment="1">
      <alignment horizontal="left" vertical="center" wrapText="1"/>
    </xf>
    <xf numFmtId="0" fontId="116" fillId="107" borderId="48" xfId="830" applyFont="1" applyFill="1" applyBorder="1" applyAlignment="1">
      <alignment vertical="center" wrapText="1"/>
      <protection/>
    </xf>
    <xf numFmtId="0" fontId="116" fillId="107" borderId="30" xfId="830" applyFont="1" applyFill="1" applyBorder="1" applyAlignment="1">
      <alignment vertical="center" wrapText="1"/>
      <protection/>
    </xf>
    <xf numFmtId="44" fontId="3" fillId="102" borderId="28" xfId="684" applyNumberFormat="1" applyFont="1" applyFill="1" applyBorder="1" applyAlignment="1">
      <alignment vertical="center" wrapText="1"/>
    </xf>
    <xf numFmtId="185" fontId="3" fillId="0" borderId="48" xfId="2043" applyNumberFormat="1" applyFont="1" applyFill="1" applyBorder="1" applyAlignment="1">
      <alignment horizontal="center" vertical="center" wrapText="1"/>
    </xf>
    <xf numFmtId="0" fontId="115" fillId="104" borderId="52" xfId="849" applyFont="1" applyFill="1" applyBorder="1" applyAlignment="1">
      <alignment horizontal="right" vertical="top"/>
      <protection/>
    </xf>
    <xf numFmtId="0" fontId="115" fillId="104" borderId="53" xfId="849" applyFont="1" applyFill="1" applyBorder="1" applyAlignment="1">
      <alignment horizontal="right" vertical="top"/>
      <protection/>
    </xf>
    <xf numFmtId="0" fontId="115" fillId="104" borderId="59" xfId="849" applyFont="1" applyFill="1" applyBorder="1" applyAlignment="1">
      <alignment horizontal="right" vertical="top"/>
      <protection/>
    </xf>
    <xf numFmtId="0" fontId="118" fillId="0" borderId="51" xfId="849" applyFont="1" applyBorder="1" applyAlignment="1">
      <alignment horizontal="left" vertical="top" wrapText="1"/>
      <protection/>
    </xf>
    <xf numFmtId="0" fontId="116" fillId="107" borderId="48" xfId="830" applyNumberFormat="1" applyFont="1" applyFill="1" applyBorder="1" applyAlignment="1">
      <alignment vertical="center"/>
      <protection/>
    </xf>
    <xf numFmtId="0" fontId="3" fillId="0" borderId="30" xfId="830" applyNumberFormat="1" applyFont="1" applyFill="1" applyBorder="1" applyAlignment="1">
      <alignment horizontal="center" vertical="center"/>
      <protection/>
    </xf>
    <xf numFmtId="0" fontId="118" fillId="0" borderId="67" xfId="849" applyFont="1" applyBorder="1" applyAlignment="1">
      <alignment horizontal="left" vertical="top" wrapText="1"/>
      <protection/>
    </xf>
    <xf numFmtId="0" fontId="118" fillId="0" borderId="51" xfId="849" applyFont="1" applyBorder="1" applyAlignment="1">
      <alignment vertical="top" wrapText="1"/>
      <protection/>
    </xf>
    <xf numFmtId="0" fontId="118" fillId="0" borderId="50" xfId="849" applyFont="1" applyBorder="1" applyAlignment="1">
      <alignment vertical="top" wrapText="1"/>
      <protection/>
    </xf>
    <xf numFmtId="0" fontId="118" fillId="0" borderId="58" xfId="849" applyFont="1" applyBorder="1" applyAlignment="1">
      <alignment vertical="top" wrapText="1"/>
      <protection/>
    </xf>
    <xf numFmtId="0" fontId="118" fillId="0" borderId="59" xfId="849" applyFont="1" applyBorder="1" applyAlignment="1">
      <alignment vertical="top" wrapText="1"/>
      <protection/>
    </xf>
    <xf numFmtId="0" fontId="25" fillId="0" borderId="50" xfId="849" applyFont="1" applyBorder="1" applyAlignment="1">
      <alignment vertical="top" wrapText="1"/>
      <protection/>
    </xf>
    <xf numFmtId="0" fontId="118" fillId="0" borderId="53" xfId="849" applyFont="1" applyBorder="1" applyAlignment="1">
      <alignment horizontal="left" vertical="top" wrapText="1"/>
      <protection/>
    </xf>
    <xf numFmtId="0" fontId="118" fillId="0" borderId="60" xfId="849" applyFont="1" applyBorder="1" applyAlignment="1">
      <alignment horizontal="left" vertical="top" wrapText="1"/>
      <protection/>
    </xf>
    <xf numFmtId="0" fontId="118" fillId="0" borderId="60" xfId="849" applyFont="1" applyBorder="1" applyAlignment="1">
      <alignment vertical="top" wrapText="1"/>
      <protection/>
    </xf>
    <xf numFmtId="0" fontId="25" fillId="0" borderId="48" xfId="830" applyNumberFormat="1" applyFont="1" applyFill="1" applyBorder="1" applyAlignment="1">
      <alignment horizontal="center" vertical="center"/>
      <protection/>
    </xf>
    <xf numFmtId="0" fontId="118" fillId="0" borderId="71" xfId="849" applyFont="1" applyBorder="1" applyAlignment="1">
      <alignment horizontal="left" vertical="top" wrapText="1"/>
      <protection/>
    </xf>
    <xf numFmtId="0" fontId="118" fillId="0" borderId="72" xfId="849" applyFont="1" applyBorder="1" applyAlignment="1">
      <alignment horizontal="left" vertical="top" wrapText="1"/>
      <protection/>
    </xf>
    <xf numFmtId="0" fontId="25" fillId="0" borderId="48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118" fillId="0" borderId="51" xfId="849" applyFont="1" applyBorder="1" applyAlignment="1">
      <alignment horizontal="left" vertical="top" wrapText="1"/>
      <protection/>
    </xf>
    <xf numFmtId="0" fontId="120" fillId="0" borderId="51" xfId="849" applyFont="1" applyBorder="1" applyAlignment="1">
      <alignment vertical="top" wrapText="1"/>
      <protection/>
    </xf>
    <xf numFmtId="0" fontId="120" fillId="0" borderId="58" xfId="849" applyFont="1" applyBorder="1" applyAlignment="1">
      <alignment vertical="top" wrapText="1"/>
      <protection/>
    </xf>
    <xf numFmtId="0" fontId="115" fillId="104" borderId="51" xfId="849" applyFont="1" applyFill="1" applyBorder="1" applyAlignment="1">
      <alignment horizontal="right" vertical="top" wrapText="1"/>
      <protection/>
    </xf>
    <xf numFmtId="0" fontId="115" fillId="104" borderId="50" xfId="849" applyFont="1" applyFill="1" applyBorder="1" applyAlignment="1">
      <alignment horizontal="right" vertical="top" wrapText="1"/>
      <protection/>
    </xf>
    <xf numFmtId="0" fontId="115" fillId="104" borderId="51" xfId="849" applyFont="1" applyFill="1" applyBorder="1" applyAlignment="1">
      <alignment horizontal="right" vertical="top" wrapText="1"/>
      <protection/>
    </xf>
    <xf numFmtId="0" fontId="115" fillId="104" borderId="58" xfId="849" applyFont="1" applyFill="1" applyBorder="1" applyAlignment="1">
      <alignment horizontal="right" vertical="top" wrapText="1"/>
      <protection/>
    </xf>
    <xf numFmtId="0" fontId="115" fillId="0" borderId="51" xfId="849" applyFont="1" applyBorder="1" applyAlignment="1">
      <alignment vertical="top" wrapText="1"/>
      <protection/>
    </xf>
    <xf numFmtId="0" fontId="115" fillId="0" borderId="58" xfId="849" applyFont="1" applyBorder="1" applyAlignment="1">
      <alignment vertical="top" wrapText="1"/>
      <protection/>
    </xf>
    <xf numFmtId="0" fontId="118" fillId="0" borderId="51" xfId="849" applyFont="1" applyBorder="1" applyAlignment="1">
      <alignment horizontal="left" vertical="top" wrapText="1"/>
      <protection/>
    </xf>
    <xf numFmtId="0" fontId="3" fillId="27" borderId="0" xfId="830" applyNumberFormat="1" applyFont="1" applyFill="1" applyBorder="1" applyAlignment="1">
      <alignment horizontal="center" vertical="center"/>
      <protection/>
    </xf>
    <xf numFmtId="178" fontId="3" fillId="23" borderId="35" xfId="2043" applyNumberFormat="1" applyFont="1" applyFill="1" applyBorder="1" applyAlignment="1">
      <alignment horizontal="center" vertical="center" wrapText="1"/>
    </xf>
    <xf numFmtId="178" fontId="3" fillId="23" borderId="55" xfId="2043" applyNumberFormat="1" applyFont="1" applyFill="1" applyBorder="1" applyAlignment="1">
      <alignment horizontal="center" vertical="center" wrapText="1"/>
    </xf>
    <xf numFmtId="0" fontId="75" fillId="96" borderId="28" xfId="831" applyFont="1" applyFill="1" applyBorder="1" applyAlignment="1">
      <alignment horizontal="center" vertical="center" wrapText="1"/>
      <protection/>
    </xf>
    <xf numFmtId="10" fontId="81" fillId="0" borderId="28" xfId="0" applyNumberFormat="1" applyFont="1" applyFill="1" applyBorder="1" applyAlignment="1" applyProtection="1">
      <alignment horizontal="center" vertical="center"/>
      <protection locked="0"/>
    </xf>
    <xf numFmtId="10" fontId="103" fillId="96" borderId="47" xfId="0" applyNumberFormat="1" applyFont="1" applyFill="1" applyBorder="1" applyAlignment="1" applyProtection="1">
      <alignment horizontal="center" vertical="center"/>
      <protection/>
    </xf>
    <xf numFmtId="10" fontId="103" fillId="96" borderId="37" xfId="0" applyNumberFormat="1" applyFont="1" applyFill="1" applyBorder="1" applyAlignment="1" applyProtection="1">
      <alignment horizontal="center" vertical="center"/>
      <protection/>
    </xf>
    <xf numFmtId="49" fontId="26" fillId="97" borderId="28" xfId="0" applyNumberFormat="1" applyFont="1" applyFill="1" applyBorder="1" applyAlignment="1" applyProtection="1">
      <alignment horizontal="left" vertical="center"/>
      <protection hidden="1"/>
    </xf>
    <xf numFmtId="0" fontId="103" fillId="0" borderId="28" xfId="0" applyFont="1" applyFill="1" applyBorder="1" applyAlignment="1" applyProtection="1">
      <alignment horizontal="left" vertical="center"/>
      <protection/>
    </xf>
    <xf numFmtId="0" fontId="75" fillId="96" borderId="47" xfId="831" applyFont="1" applyFill="1" applyBorder="1" applyAlignment="1">
      <alignment horizontal="center" vertical="center"/>
      <protection/>
    </xf>
    <xf numFmtId="0" fontId="75" fillId="96" borderId="48" xfId="831" applyFont="1" applyFill="1" applyBorder="1" applyAlignment="1">
      <alignment horizontal="center" vertical="center"/>
      <protection/>
    </xf>
    <xf numFmtId="0" fontId="75" fillId="96" borderId="37" xfId="831" applyFont="1" applyFill="1" applyBorder="1" applyAlignment="1">
      <alignment horizontal="center" vertical="center"/>
      <protection/>
    </xf>
    <xf numFmtId="0" fontId="75" fillId="96" borderId="29" xfId="831" applyFont="1" applyFill="1" applyBorder="1" applyAlignment="1">
      <alignment horizontal="center" vertical="center"/>
      <protection/>
    </xf>
    <xf numFmtId="0" fontId="75" fillId="96" borderId="30" xfId="831" applyFont="1" applyFill="1" applyBorder="1" applyAlignment="1">
      <alignment horizontal="center" vertical="center"/>
      <protection/>
    </xf>
    <xf numFmtId="0" fontId="75" fillId="96" borderId="28" xfId="831" applyFont="1" applyFill="1" applyBorder="1" applyAlignment="1">
      <alignment horizontal="left" vertical="center"/>
      <protection/>
    </xf>
    <xf numFmtId="0" fontId="103" fillId="96" borderId="47" xfId="0" applyFont="1" applyFill="1" applyBorder="1" applyAlignment="1" applyProtection="1">
      <alignment horizontal="center" vertical="center"/>
      <protection/>
    </xf>
    <xf numFmtId="0" fontId="103" fillId="96" borderId="48" xfId="0" applyFont="1" applyFill="1" applyBorder="1" applyAlignment="1" applyProtection="1">
      <alignment horizontal="center" vertical="center"/>
      <protection/>
    </xf>
    <xf numFmtId="0" fontId="103" fillId="96" borderId="37" xfId="0" applyFont="1" applyFill="1" applyBorder="1" applyAlignment="1" applyProtection="1">
      <alignment horizontal="center" vertical="center"/>
      <protection/>
    </xf>
    <xf numFmtId="0" fontId="103" fillId="96" borderId="28" xfId="0" applyFont="1" applyFill="1" applyBorder="1" applyAlignment="1" applyProtection="1">
      <alignment horizontal="center" vertical="center"/>
      <protection/>
    </xf>
    <xf numFmtId="0" fontId="81" fillId="0" borderId="28" xfId="0" applyFont="1" applyBorder="1" applyAlignment="1" applyProtection="1">
      <alignment horizontal="left" vertical="center" wrapText="1"/>
      <protection/>
    </xf>
    <xf numFmtId="0" fontId="25" fillId="102" borderId="47" xfId="887" applyFont="1" applyFill="1" applyBorder="1" applyAlignment="1" applyProtection="1">
      <alignment horizontal="center" vertical="center"/>
      <protection/>
    </xf>
    <xf numFmtId="0" fontId="25" fillId="102" borderId="48" xfId="887" applyFont="1" applyFill="1" applyBorder="1" applyAlignment="1" applyProtection="1">
      <alignment horizontal="center" vertical="center"/>
      <protection/>
    </xf>
    <xf numFmtId="0" fontId="25" fillId="102" borderId="37" xfId="887" applyFont="1" applyFill="1" applyBorder="1" applyAlignment="1" applyProtection="1">
      <alignment horizontal="center" vertical="center"/>
      <protection/>
    </xf>
    <xf numFmtId="0" fontId="25" fillId="102" borderId="47" xfId="887" applyFont="1" applyFill="1" applyBorder="1" applyAlignment="1" applyProtection="1">
      <alignment horizontal="center" vertical="center" wrapText="1"/>
      <protection/>
    </xf>
    <xf numFmtId="0" fontId="25" fillId="102" borderId="48" xfId="887" applyFont="1" applyFill="1" applyBorder="1" applyAlignment="1" applyProtection="1">
      <alignment horizontal="center" vertical="center" wrapText="1"/>
      <protection/>
    </xf>
    <xf numFmtId="0" fontId="25" fillId="102" borderId="37" xfId="887" applyFont="1" applyFill="1" applyBorder="1" applyAlignment="1" applyProtection="1">
      <alignment horizontal="center" vertical="center" wrapText="1"/>
      <protection/>
    </xf>
    <xf numFmtId="0" fontId="26" fillId="71" borderId="47" xfId="0" applyFont="1" applyFill="1" applyBorder="1" applyAlignment="1" quotePrefix="1">
      <alignment horizontal="center" vertical="center"/>
    </xf>
    <xf numFmtId="0" fontId="26" fillId="71" borderId="48" xfId="0" applyFont="1" applyFill="1" applyBorder="1" applyAlignment="1" quotePrefix="1">
      <alignment horizontal="center" vertical="center"/>
    </xf>
    <xf numFmtId="0" fontId="26" fillId="71" borderId="37" xfId="0" applyFont="1" applyFill="1" applyBorder="1" applyAlignment="1" quotePrefix="1">
      <alignment horizontal="center" vertical="center"/>
    </xf>
    <xf numFmtId="49" fontId="26" fillId="97" borderId="28" xfId="0" applyNumberFormat="1" applyFont="1" applyFill="1" applyBorder="1" applyAlignment="1" applyProtection="1" quotePrefix="1">
      <alignment horizontal="left" vertical="center"/>
      <protection hidden="1"/>
    </xf>
    <xf numFmtId="49" fontId="26" fillId="97" borderId="28" xfId="0" applyNumberFormat="1" applyFont="1" applyFill="1" applyBorder="1" applyAlignment="1" applyProtection="1">
      <alignment horizontal="left" vertical="center" wrapText="1"/>
      <protection hidden="1"/>
    </xf>
    <xf numFmtId="14" fontId="26" fillId="0" borderId="28" xfId="0" applyNumberFormat="1" applyFont="1" applyFill="1" applyBorder="1" applyAlignment="1" applyProtection="1">
      <alignment horizontal="left" vertical="center"/>
      <protection hidden="1"/>
    </xf>
    <xf numFmtId="0" fontId="24" fillId="0" borderId="28" xfId="0" applyFont="1" applyBorder="1" applyAlignment="1">
      <alignment horizontal="left" vertical="center" wrapText="1"/>
    </xf>
    <xf numFmtId="14" fontId="26" fillId="0" borderId="47" xfId="0" applyNumberFormat="1" applyFont="1" applyFill="1" applyBorder="1" applyAlignment="1" applyProtection="1">
      <alignment horizontal="left" vertical="center"/>
      <protection hidden="1"/>
    </xf>
    <xf numFmtId="14" fontId="26" fillId="0" borderId="37" xfId="0" applyNumberFormat="1" applyFont="1" applyFill="1" applyBorder="1" applyAlignment="1" applyProtection="1">
      <alignment horizontal="left" vertical="center"/>
      <protection hidden="1"/>
    </xf>
    <xf numFmtId="49" fontId="26" fillId="97" borderId="47" xfId="0" applyNumberFormat="1" applyFont="1" applyFill="1" applyBorder="1" applyAlignment="1" applyProtection="1" quotePrefix="1">
      <alignment horizontal="left" vertical="center"/>
      <protection hidden="1"/>
    </xf>
    <xf numFmtId="49" fontId="26" fillId="97" borderId="37" xfId="0" applyNumberFormat="1" applyFont="1" applyFill="1" applyBorder="1" applyAlignment="1" applyProtection="1" quotePrefix="1">
      <alignment horizontal="left" vertical="center"/>
      <protection hidden="1"/>
    </xf>
    <xf numFmtId="49" fontId="26" fillId="97" borderId="47" xfId="0" applyNumberFormat="1" applyFont="1" applyFill="1" applyBorder="1" applyAlignment="1" applyProtection="1">
      <alignment horizontal="left" vertical="center"/>
      <protection hidden="1"/>
    </xf>
    <xf numFmtId="49" fontId="26" fillId="97" borderId="37" xfId="0" applyNumberFormat="1" applyFont="1" applyFill="1" applyBorder="1" applyAlignment="1" applyProtection="1">
      <alignment horizontal="left" vertical="center"/>
      <protection hidden="1"/>
    </xf>
    <xf numFmtId="49" fontId="26" fillId="97" borderId="47" xfId="0" applyNumberFormat="1" applyFont="1" applyFill="1" applyBorder="1" applyAlignment="1" applyProtection="1">
      <alignment horizontal="left" vertical="center" wrapText="1"/>
      <protection hidden="1"/>
    </xf>
    <xf numFmtId="49" fontId="26" fillId="97" borderId="37" xfId="0" applyNumberFormat="1" applyFont="1" applyFill="1" applyBorder="1" applyAlignment="1" applyProtection="1">
      <alignment horizontal="left" vertical="center" wrapText="1"/>
      <protection hidden="1"/>
    </xf>
    <xf numFmtId="0" fontId="105" fillId="0" borderId="30" xfId="0" applyFont="1" applyFill="1" applyBorder="1" applyAlignment="1">
      <alignment horizontal="center" vertical="center" wrapText="1"/>
    </xf>
    <xf numFmtId="0" fontId="105" fillId="0" borderId="31" xfId="0" applyFont="1" applyFill="1" applyBorder="1" applyAlignment="1">
      <alignment horizontal="center" vertical="center" wrapText="1"/>
    </xf>
    <xf numFmtId="0" fontId="24" fillId="0" borderId="28" xfId="0" applyFont="1" applyBorder="1" applyAlignment="1" quotePrefix="1">
      <alignment horizontal="left" vertical="center" wrapText="1"/>
    </xf>
    <xf numFmtId="0" fontId="26" fillId="71" borderId="35" xfId="0" applyFont="1" applyFill="1" applyBorder="1" applyAlignment="1" quotePrefix="1">
      <alignment horizontal="center" vertical="center"/>
    </xf>
    <xf numFmtId="0" fontId="65" fillId="96" borderId="47" xfId="831" applyFont="1" applyFill="1" applyBorder="1" applyAlignment="1">
      <alignment horizontal="center" vertical="center" wrapText="1"/>
      <protection/>
    </xf>
    <xf numFmtId="0" fontId="65" fillId="96" borderId="48" xfId="831" applyFont="1" applyFill="1" applyBorder="1" applyAlignment="1">
      <alignment horizontal="center" vertical="center" wrapText="1"/>
      <protection/>
    </xf>
    <xf numFmtId="0" fontId="116" fillId="106" borderId="48" xfId="830" applyFont="1" applyFill="1" applyBorder="1" applyAlignment="1">
      <alignment horizontal="center" vertical="center" wrapText="1"/>
      <protection/>
    </xf>
    <xf numFmtId="0" fontId="114" fillId="100" borderId="33" xfId="0" applyFont="1" applyFill="1" applyBorder="1" applyAlignment="1">
      <alignment horizontal="center" vertical="center" wrapText="1"/>
    </xf>
    <xf numFmtId="0" fontId="114" fillId="100" borderId="54" xfId="0" applyFont="1" applyFill="1" applyBorder="1" applyAlignment="1">
      <alignment horizontal="center" vertical="center" wrapText="1"/>
    </xf>
    <xf numFmtId="0" fontId="114" fillId="100" borderId="55" xfId="0" applyFont="1" applyFill="1" applyBorder="1" applyAlignment="1">
      <alignment horizontal="center" vertical="center" wrapText="1"/>
    </xf>
    <xf numFmtId="0" fontId="114" fillId="100" borderId="31" xfId="0" applyFont="1" applyFill="1" applyBorder="1" applyAlignment="1">
      <alignment horizontal="center" vertical="center" wrapText="1"/>
    </xf>
    <xf numFmtId="0" fontId="114" fillId="100" borderId="36" xfId="0" applyFont="1" applyFill="1" applyBorder="1" applyAlignment="1">
      <alignment horizontal="center" vertical="center" wrapText="1"/>
    </xf>
    <xf numFmtId="0" fontId="116" fillId="107" borderId="48" xfId="830" applyFont="1" applyFill="1" applyBorder="1" applyAlignment="1">
      <alignment horizontal="left" vertical="center" wrapText="1"/>
      <protection/>
    </xf>
    <xf numFmtId="0" fontId="25" fillId="0" borderId="0" xfId="887" applyFont="1" applyFill="1" applyBorder="1" applyAlignment="1" applyProtection="1">
      <alignment horizontal="left" vertical="top" wrapText="1"/>
      <protection locked="0"/>
    </xf>
    <xf numFmtId="178" fontId="118" fillId="0" borderId="48" xfId="898" applyNumberFormat="1" applyFont="1" applyFill="1" applyBorder="1" applyAlignment="1" applyProtection="1">
      <alignment horizontal="right" vertical="center" wrapText="1"/>
      <protection/>
    </xf>
    <xf numFmtId="0" fontId="25" fillId="0" borderId="0" xfId="887" applyFont="1" applyFill="1" applyBorder="1" applyAlignment="1" applyProtection="1">
      <alignment horizontal="left" vertical="center" wrapText="1"/>
      <protection locked="0"/>
    </xf>
    <xf numFmtId="0" fontId="115" fillId="104" borderId="50" xfId="849" applyFont="1" applyFill="1" applyBorder="1" applyAlignment="1">
      <alignment horizontal="right" vertical="top"/>
      <protection/>
    </xf>
    <xf numFmtId="0" fontId="115" fillId="104" borderId="51" xfId="849" applyFont="1" applyFill="1" applyBorder="1" applyAlignment="1">
      <alignment horizontal="right" vertical="top"/>
      <protection/>
    </xf>
    <xf numFmtId="0" fontId="115" fillId="104" borderId="52" xfId="849" applyFont="1" applyFill="1" applyBorder="1" applyAlignment="1">
      <alignment horizontal="right" vertical="top"/>
      <protection/>
    </xf>
    <xf numFmtId="0" fontId="115" fillId="104" borderId="53" xfId="849" applyFont="1" applyFill="1" applyBorder="1" applyAlignment="1">
      <alignment horizontal="right" vertical="top"/>
      <protection/>
    </xf>
    <xf numFmtId="0" fontId="115" fillId="104" borderId="59" xfId="849" applyFont="1" applyFill="1" applyBorder="1" applyAlignment="1">
      <alignment horizontal="right" vertical="top"/>
      <protection/>
    </xf>
    <xf numFmtId="0" fontId="118" fillId="0" borderId="57" xfId="849" applyFont="1" applyBorder="1" applyAlignment="1">
      <alignment horizontal="left" vertical="top" wrapText="1"/>
      <protection/>
    </xf>
    <xf numFmtId="0" fontId="118" fillId="0" borderId="51" xfId="849" applyFont="1" applyBorder="1" applyAlignment="1">
      <alignment horizontal="left" vertical="top" wrapText="1"/>
      <protection/>
    </xf>
    <xf numFmtId="0" fontId="118" fillId="0" borderId="58" xfId="849" applyFont="1" applyBorder="1" applyAlignment="1">
      <alignment horizontal="left" vertical="top" wrapText="1"/>
      <protection/>
    </xf>
    <xf numFmtId="3" fontId="118" fillId="0" borderId="64" xfId="849" applyNumberFormat="1" applyFont="1" applyBorder="1" applyAlignment="1">
      <alignment horizontal="center" vertical="top" wrapText="1"/>
      <protection/>
    </xf>
    <xf numFmtId="3" fontId="118" fillId="0" borderId="60" xfId="849" applyNumberFormat="1" applyFont="1" applyBorder="1" applyAlignment="1">
      <alignment horizontal="center" vertical="top" wrapText="1"/>
      <protection/>
    </xf>
    <xf numFmtId="0" fontId="118" fillId="0" borderId="64" xfId="849" applyFont="1" applyBorder="1" applyAlignment="1">
      <alignment horizontal="center" vertical="top" wrapText="1"/>
      <protection/>
    </xf>
    <xf numFmtId="0" fontId="118" fillId="0" borderId="53" xfId="849" applyFont="1" applyBorder="1" applyAlignment="1">
      <alignment horizontal="center" vertical="top" wrapText="1"/>
      <protection/>
    </xf>
    <xf numFmtId="0" fontId="118" fillId="0" borderId="59" xfId="849" applyFont="1" applyBorder="1" applyAlignment="1">
      <alignment horizontal="center" vertical="top" wrapText="1"/>
      <protection/>
    </xf>
    <xf numFmtId="0" fontId="115" fillId="104" borderId="50" xfId="849" applyFont="1" applyFill="1" applyBorder="1" applyAlignment="1">
      <alignment horizontal="right" vertical="top" wrapText="1"/>
      <protection/>
    </xf>
    <xf numFmtId="0" fontId="115" fillId="104" borderId="51" xfId="849" applyFont="1" applyFill="1" applyBorder="1" applyAlignment="1">
      <alignment horizontal="right" vertical="top" wrapText="1"/>
      <protection/>
    </xf>
    <xf numFmtId="0" fontId="115" fillId="104" borderId="58" xfId="849" applyFont="1" applyFill="1" applyBorder="1" applyAlignment="1">
      <alignment horizontal="right" vertical="top" wrapText="1"/>
      <protection/>
    </xf>
    <xf numFmtId="0" fontId="120" fillId="0" borderId="51" xfId="849" applyFont="1" applyBorder="1" applyAlignment="1">
      <alignment vertical="top" wrapText="1"/>
      <protection/>
    </xf>
    <xf numFmtId="0" fontId="120" fillId="0" borderId="58" xfId="849" applyFont="1" applyBorder="1" applyAlignment="1">
      <alignment vertical="top" wrapText="1"/>
      <protection/>
    </xf>
    <xf numFmtId="0" fontId="118" fillId="0" borderId="64" xfId="849" applyFont="1" applyBorder="1" applyAlignment="1">
      <alignment horizontal="left" vertical="top" wrapText="1"/>
      <protection/>
    </xf>
    <xf numFmtId="0" fontId="118" fillId="0" borderId="53" xfId="849" applyFont="1" applyBorder="1" applyAlignment="1">
      <alignment horizontal="left" vertical="top" wrapText="1"/>
      <protection/>
    </xf>
    <xf numFmtId="0" fontId="118" fillId="0" borderId="60" xfId="849" applyFont="1" applyBorder="1" applyAlignment="1">
      <alignment horizontal="left" vertical="top" wrapText="1"/>
      <protection/>
    </xf>
    <xf numFmtId="0" fontId="115" fillId="0" borderId="50" xfId="849" applyFont="1" applyBorder="1" applyAlignment="1">
      <alignment vertical="top" wrapText="1"/>
      <protection/>
    </xf>
    <xf numFmtId="0" fontId="115" fillId="0" borderId="51" xfId="849" applyFont="1" applyBorder="1" applyAlignment="1">
      <alignment vertical="top" wrapText="1"/>
      <protection/>
    </xf>
    <xf numFmtId="0" fontId="115" fillId="0" borderId="58" xfId="849" applyFont="1" applyBorder="1" applyAlignment="1">
      <alignment vertical="top" wrapText="1"/>
      <protection/>
    </xf>
    <xf numFmtId="0" fontId="115" fillId="104" borderId="50" xfId="847" applyFont="1" applyFill="1" applyBorder="1" applyAlignment="1">
      <alignment horizontal="right" vertical="top"/>
      <protection/>
    </xf>
    <xf numFmtId="0" fontId="115" fillId="104" borderId="51" xfId="847" applyFont="1" applyFill="1" applyBorder="1" applyAlignment="1">
      <alignment horizontal="right" vertical="top"/>
      <protection/>
    </xf>
    <xf numFmtId="0" fontId="115" fillId="0" borderId="50" xfId="849" applyFont="1" applyFill="1" applyBorder="1" applyAlignment="1">
      <alignment horizontal="right" vertical="top" wrapText="1"/>
      <protection/>
    </xf>
    <xf numFmtId="0" fontId="115" fillId="0" borderId="51" xfId="849" applyFont="1" applyFill="1" applyBorder="1" applyAlignment="1">
      <alignment horizontal="right" vertical="top" wrapText="1"/>
      <protection/>
    </xf>
    <xf numFmtId="0" fontId="115" fillId="0" borderId="58" xfId="849" applyFont="1" applyFill="1" applyBorder="1" applyAlignment="1">
      <alignment horizontal="right" vertical="top" wrapText="1"/>
      <protection/>
    </xf>
    <xf numFmtId="0" fontId="115" fillId="0" borderId="51" xfId="849" applyFont="1" applyFill="1" applyBorder="1" applyAlignment="1">
      <alignment vertical="top" wrapText="1"/>
      <protection/>
    </xf>
    <xf numFmtId="0" fontId="115" fillId="0" borderId="58" xfId="849" applyFont="1" applyFill="1" applyBorder="1" applyAlignment="1">
      <alignment vertical="top" wrapText="1"/>
      <protection/>
    </xf>
    <xf numFmtId="0" fontId="120" fillId="0" borderId="64" xfId="849" applyFont="1" applyBorder="1" applyAlignment="1">
      <alignment horizontal="left" vertical="top" wrapText="1"/>
      <protection/>
    </xf>
    <xf numFmtId="0" fontId="120" fillId="0" borderId="53" xfId="849" applyFont="1" applyBorder="1" applyAlignment="1">
      <alignment horizontal="left" vertical="top" wrapText="1"/>
      <protection/>
    </xf>
    <xf numFmtId="0" fontId="120" fillId="0" borderId="60" xfId="849" applyFont="1" applyBorder="1" applyAlignment="1">
      <alignment horizontal="left" vertical="top" wrapText="1"/>
      <protection/>
    </xf>
    <xf numFmtId="0" fontId="122" fillId="104" borderId="73" xfId="849" applyFont="1" applyFill="1" applyBorder="1" applyAlignment="1">
      <alignment horizontal="center" vertical="top" wrapText="1"/>
      <protection/>
    </xf>
    <xf numFmtId="0" fontId="122" fillId="104" borderId="74" xfId="849" applyFont="1" applyFill="1" applyBorder="1" applyAlignment="1">
      <alignment horizontal="center" vertical="top" wrapText="1"/>
      <protection/>
    </xf>
    <xf numFmtId="0" fontId="122" fillId="104" borderId="75" xfId="849" applyFont="1" applyFill="1" applyBorder="1" applyAlignment="1">
      <alignment horizontal="center" vertical="top" wrapText="1"/>
      <protection/>
    </xf>
    <xf numFmtId="0" fontId="115" fillId="0" borderId="52" xfId="849" applyFont="1" applyBorder="1" applyAlignment="1">
      <alignment vertical="top" wrapText="1"/>
      <protection/>
    </xf>
    <xf numFmtId="0" fontId="115" fillId="0" borderId="53" xfId="849" applyFont="1" applyBorder="1" applyAlignment="1">
      <alignment vertical="top" wrapText="1"/>
      <protection/>
    </xf>
    <xf numFmtId="0" fontId="115" fillId="0" borderId="60" xfId="849" applyFont="1" applyBorder="1" applyAlignment="1">
      <alignment vertical="top" wrapText="1"/>
      <protection/>
    </xf>
    <xf numFmtId="0" fontId="115" fillId="104" borderId="52" xfId="849" applyFont="1" applyFill="1" applyBorder="1" applyAlignment="1">
      <alignment horizontal="right" vertical="top" wrapText="1"/>
      <protection/>
    </xf>
    <xf numFmtId="0" fontId="115" fillId="104" borderId="53" xfId="849" applyFont="1" applyFill="1" applyBorder="1" applyAlignment="1">
      <alignment horizontal="right" vertical="top" wrapText="1"/>
      <protection/>
    </xf>
    <xf numFmtId="0" fontId="115" fillId="104" borderId="60" xfId="849" applyFont="1" applyFill="1" applyBorder="1" applyAlignment="1">
      <alignment horizontal="right" vertical="top" wrapText="1"/>
      <protection/>
    </xf>
    <xf numFmtId="0" fontId="3" fillId="104" borderId="50" xfId="849" applyFont="1" applyFill="1" applyBorder="1" applyAlignment="1">
      <alignment horizontal="right" vertical="top"/>
      <protection/>
    </xf>
    <xf numFmtId="0" fontId="3" fillId="104" borderId="51" xfId="849" applyFont="1" applyFill="1" applyBorder="1" applyAlignment="1">
      <alignment horizontal="right" vertical="top"/>
      <protection/>
    </xf>
    <xf numFmtId="0" fontId="118" fillId="0" borderId="76" xfId="849" applyFont="1" applyBorder="1" applyAlignment="1">
      <alignment horizontal="left" vertical="top" wrapText="1"/>
      <protection/>
    </xf>
    <xf numFmtId="0" fontId="118" fillId="0" borderId="77" xfId="849" applyFont="1" applyBorder="1" applyAlignment="1">
      <alignment horizontal="left" vertical="top" wrapText="1"/>
      <protection/>
    </xf>
    <xf numFmtId="0" fontId="118" fillId="0" borderId="59" xfId="849" applyFont="1" applyBorder="1" applyAlignment="1">
      <alignment horizontal="left" vertical="top" wrapText="1"/>
      <protection/>
    </xf>
    <xf numFmtId="0" fontId="115" fillId="0" borderId="50" xfId="849" applyFont="1" applyFill="1" applyBorder="1" applyAlignment="1">
      <alignment horizontal="right" vertical="top"/>
      <protection/>
    </xf>
    <xf numFmtId="0" fontId="115" fillId="0" borderId="51" xfId="849" applyFont="1" applyFill="1" applyBorder="1" applyAlignment="1">
      <alignment horizontal="right" vertical="top"/>
      <protection/>
    </xf>
    <xf numFmtId="0" fontId="115" fillId="0" borderId="52" xfId="849" applyFont="1" applyFill="1" applyBorder="1" applyAlignment="1">
      <alignment horizontal="right" vertical="top"/>
      <protection/>
    </xf>
    <xf numFmtId="0" fontId="115" fillId="0" borderId="53" xfId="849" applyFont="1" applyFill="1" applyBorder="1" applyAlignment="1">
      <alignment horizontal="right" vertical="top"/>
      <protection/>
    </xf>
    <xf numFmtId="0" fontId="115" fillId="0" borderId="59" xfId="849" applyFont="1" applyFill="1" applyBorder="1" applyAlignment="1">
      <alignment horizontal="right" vertical="top"/>
      <protection/>
    </xf>
    <xf numFmtId="0" fontId="3" fillId="97" borderId="50" xfId="849" applyFont="1" applyFill="1" applyBorder="1" applyAlignment="1">
      <alignment horizontal="right" vertical="top"/>
      <protection/>
    </xf>
    <xf numFmtId="0" fontId="3" fillId="97" borderId="51" xfId="849" applyFont="1" applyFill="1" applyBorder="1" applyAlignment="1">
      <alignment horizontal="right" vertical="top"/>
      <protection/>
    </xf>
    <xf numFmtId="0" fontId="3" fillId="97" borderId="52" xfId="849" applyFont="1" applyFill="1" applyBorder="1" applyAlignment="1">
      <alignment horizontal="right" vertical="top"/>
      <protection/>
    </xf>
    <xf numFmtId="0" fontId="3" fillId="97" borderId="53" xfId="849" applyFont="1" applyFill="1" applyBorder="1" applyAlignment="1">
      <alignment horizontal="right" vertical="top"/>
      <protection/>
    </xf>
    <xf numFmtId="0" fontId="3" fillId="97" borderId="59" xfId="849" applyFont="1" applyFill="1" applyBorder="1" applyAlignment="1">
      <alignment horizontal="right" vertical="top"/>
      <protection/>
    </xf>
    <xf numFmtId="0" fontId="34" fillId="96" borderId="28" xfId="831" applyFont="1" applyFill="1" applyBorder="1" applyAlignment="1">
      <alignment horizontal="center" vertical="center"/>
      <protection/>
    </xf>
    <xf numFmtId="0" fontId="26" fillId="71" borderId="28" xfId="0" applyFont="1" applyFill="1" applyBorder="1" applyAlignment="1" quotePrefix="1">
      <alignment horizontal="center" vertical="center"/>
    </xf>
    <xf numFmtId="0" fontId="118" fillId="0" borderId="78" xfId="849" applyFont="1" applyBorder="1" applyAlignment="1">
      <alignment horizontal="left" vertical="top" wrapText="1"/>
      <protection/>
    </xf>
    <xf numFmtId="0" fontId="118" fillId="0" borderId="79" xfId="849" applyFont="1" applyBorder="1" applyAlignment="1">
      <alignment horizontal="left" vertical="top" wrapText="1"/>
      <protection/>
    </xf>
    <xf numFmtId="0" fontId="118" fillId="0" borderId="80" xfId="849" applyFont="1" applyBorder="1" applyAlignment="1">
      <alignment horizontal="left" vertical="top" wrapText="1"/>
      <protection/>
    </xf>
    <xf numFmtId="0" fontId="25" fillId="0" borderId="29" xfId="887" applyFont="1" applyFill="1" applyBorder="1" applyAlignment="1" applyProtection="1">
      <alignment horizontal="left" vertical="center" wrapText="1"/>
      <protection locked="0"/>
    </xf>
    <xf numFmtId="0" fontId="25" fillId="0" borderId="31" xfId="887" applyFont="1" applyFill="1" applyBorder="1" applyAlignment="1" applyProtection="1">
      <alignment horizontal="left" vertical="center" wrapText="1"/>
      <protection locked="0"/>
    </xf>
    <xf numFmtId="0" fontId="25" fillId="0" borderId="34" xfId="887" applyFont="1" applyFill="1" applyBorder="1" applyAlignment="1" applyProtection="1">
      <alignment horizontal="left" vertical="top" wrapText="1"/>
      <protection locked="0"/>
    </xf>
    <xf numFmtId="0" fontId="25" fillId="0" borderId="36" xfId="887" applyFont="1" applyFill="1" applyBorder="1" applyAlignment="1" applyProtection="1">
      <alignment horizontal="left" vertical="top" wrapText="1"/>
      <protection locked="0"/>
    </xf>
    <xf numFmtId="0" fontId="113" fillId="99" borderId="54" xfId="0" applyFont="1" applyFill="1" applyBorder="1" applyAlignment="1">
      <alignment horizontal="center" vertical="center" wrapText="1"/>
    </xf>
    <xf numFmtId="0" fontId="113" fillId="99" borderId="46" xfId="0" applyFont="1" applyFill="1" applyBorder="1" applyAlignment="1">
      <alignment horizontal="center" vertical="center" wrapText="1"/>
    </xf>
    <xf numFmtId="0" fontId="113" fillId="99" borderId="55" xfId="0" applyFont="1" applyFill="1" applyBorder="1" applyAlignment="1">
      <alignment horizontal="center" vertical="center" wrapText="1"/>
    </xf>
    <xf numFmtId="0" fontId="24" fillId="0" borderId="28" xfId="0" applyFont="1" applyBorder="1" applyAlignment="1" quotePrefix="1">
      <alignment horizontal="left" vertical="center"/>
    </xf>
    <xf numFmtId="0" fontId="24" fillId="0" borderId="28" xfId="0" applyFont="1" applyBorder="1" applyAlignment="1">
      <alignment horizontal="left" vertical="center"/>
    </xf>
    <xf numFmtId="0" fontId="66" fillId="0" borderId="0" xfId="846" applyFont="1" applyFill="1" applyBorder="1" applyAlignment="1" applyProtection="1">
      <alignment horizontal="center" vertical="center" wrapText="1"/>
      <protection/>
    </xf>
    <xf numFmtId="0" fontId="66" fillId="96" borderId="47" xfId="0" applyFont="1" applyFill="1" applyBorder="1" applyAlignment="1">
      <alignment horizontal="center" vertical="center" wrapText="1"/>
    </xf>
    <xf numFmtId="0" fontId="66" fillId="96" borderId="48" xfId="0" applyFont="1" applyFill="1" applyBorder="1" applyAlignment="1">
      <alignment horizontal="center" vertical="center" wrapText="1"/>
    </xf>
    <xf numFmtId="0" fontId="25" fillId="102" borderId="28" xfId="887" applyFont="1" applyFill="1" applyBorder="1" applyAlignment="1" applyProtection="1">
      <alignment horizontal="center" vertical="center"/>
      <protection/>
    </xf>
    <xf numFmtId="0" fontId="25" fillId="102" borderId="28" xfId="898" applyFont="1" applyFill="1" applyBorder="1" applyAlignment="1" applyProtection="1">
      <alignment horizontal="center" vertical="center"/>
      <protection/>
    </xf>
    <xf numFmtId="0" fontId="113" fillId="99" borderId="47" xfId="0" applyFont="1" applyFill="1" applyBorder="1" applyAlignment="1">
      <alignment horizontal="center" vertical="center" wrapText="1"/>
    </xf>
    <xf numFmtId="0" fontId="113" fillId="99" borderId="48" xfId="0" applyFont="1" applyFill="1" applyBorder="1" applyAlignment="1">
      <alignment horizontal="center" vertical="center" wrapText="1"/>
    </xf>
    <xf numFmtId="0" fontId="113" fillId="99" borderId="37" xfId="0" applyFont="1" applyFill="1" applyBorder="1" applyAlignment="1">
      <alignment horizontal="center" vertical="center" wrapText="1"/>
    </xf>
    <xf numFmtId="0" fontId="113" fillId="100" borderId="47" xfId="0" applyFont="1" applyFill="1" applyBorder="1" applyAlignment="1">
      <alignment horizontal="right" vertical="center" wrapText="1"/>
    </xf>
    <xf numFmtId="0" fontId="113" fillId="100" borderId="48" xfId="0" applyFont="1" applyFill="1" applyBorder="1" applyAlignment="1">
      <alignment horizontal="right" vertical="center" wrapText="1"/>
    </xf>
    <xf numFmtId="0" fontId="113" fillId="100" borderId="37" xfId="0" applyFont="1" applyFill="1" applyBorder="1" applyAlignment="1">
      <alignment horizontal="right" vertical="center" wrapText="1"/>
    </xf>
    <xf numFmtId="0" fontId="66" fillId="0" borderId="28" xfId="846" applyFont="1" applyFill="1" applyBorder="1" applyAlignment="1" applyProtection="1">
      <alignment horizontal="center" vertical="center" wrapText="1"/>
      <protection/>
    </xf>
    <xf numFmtId="0" fontId="66" fillId="96" borderId="37" xfId="0" applyFont="1" applyFill="1" applyBorder="1" applyAlignment="1">
      <alignment horizontal="center" vertical="center" wrapText="1"/>
    </xf>
    <xf numFmtId="0" fontId="113" fillId="99" borderId="30" xfId="0" applyFont="1" applyFill="1" applyBorder="1" applyAlignment="1">
      <alignment horizontal="center" vertical="center" wrapText="1"/>
    </xf>
    <xf numFmtId="0" fontId="103" fillId="96" borderId="47" xfId="839" applyFont="1" applyFill="1" applyBorder="1" applyAlignment="1">
      <alignment horizontal="center" wrapText="1"/>
      <protection/>
    </xf>
    <xf numFmtId="0" fontId="103" fillId="96" borderId="48" xfId="839" applyFont="1" applyFill="1" applyBorder="1" applyAlignment="1">
      <alignment horizontal="center" wrapText="1"/>
      <protection/>
    </xf>
    <xf numFmtId="0" fontId="103" fillId="96" borderId="37" xfId="839" applyFont="1" applyFill="1" applyBorder="1" applyAlignment="1">
      <alignment horizontal="center" wrapText="1"/>
      <protection/>
    </xf>
    <xf numFmtId="0" fontId="103" fillId="96" borderId="28" xfId="839" applyFont="1" applyFill="1" applyBorder="1" applyAlignment="1">
      <alignment horizontal="center" wrapText="1"/>
      <protection/>
    </xf>
    <xf numFmtId="0" fontId="81" fillId="0" borderId="54" xfId="839" applyFont="1" applyBorder="1" applyAlignment="1">
      <alignment horizontal="center" vertical="center"/>
      <protection/>
    </xf>
    <xf numFmtId="0" fontId="81" fillId="0" borderId="55" xfId="839" applyFont="1" applyBorder="1" applyAlignment="1">
      <alignment horizontal="center" vertical="center"/>
      <protection/>
    </xf>
    <xf numFmtId="0" fontId="111" fillId="0" borderId="54" xfId="839" applyFont="1" applyBorder="1" applyAlignment="1">
      <alignment vertical="center" wrapText="1"/>
      <protection/>
    </xf>
    <xf numFmtId="0" fontId="111" fillId="0" borderId="55" xfId="839" applyFont="1" applyBorder="1" applyAlignment="1">
      <alignment vertical="center" wrapText="1"/>
      <protection/>
    </xf>
    <xf numFmtId="43" fontId="110" fillId="0" borderId="54" xfId="2044" applyNumberFormat="1" applyFont="1" applyBorder="1" applyAlignment="1">
      <alignment horizontal="center" vertical="center"/>
    </xf>
    <xf numFmtId="43" fontId="110" fillId="0" borderId="55" xfId="2044" applyNumberFormat="1" applyFont="1" applyBorder="1" applyAlignment="1">
      <alignment horizontal="center" vertical="center"/>
    </xf>
    <xf numFmtId="10" fontId="110" fillId="0" borderId="28" xfId="1000" applyNumberFormat="1" applyFont="1" applyBorder="1" applyAlignment="1">
      <alignment horizontal="center" vertical="center"/>
    </xf>
    <xf numFmtId="43" fontId="21" fillId="0" borderId="29" xfId="2044" applyFont="1" applyBorder="1" applyAlignment="1">
      <alignment horizontal="center" vertical="center"/>
    </xf>
    <xf numFmtId="43" fontId="21" fillId="0" borderId="30" xfId="2044" applyFont="1" applyBorder="1" applyAlignment="1">
      <alignment horizontal="center" vertical="center"/>
    </xf>
    <xf numFmtId="43" fontId="21" fillId="0" borderId="31" xfId="2044" applyFont="1" applyBorder="1" applyAlignment="1">
      <alignment horizontal="center" vertical="center"/>
    </xf>
    <xf numFmtId="0" fontId="81" fillId="0" borderId="28" xfId="839" applyFont="1" applyBorder="1" applyAlignment="1">
      <alignment horizontal="center" vertical="center"/>
      <protection/>
    </xf>
    <xf numFmtId="0" fontId="21" fillId="0" borderId="28" xfId="839" applyFont="1" applyBorder="1" applyAlignment="1">
      <alignment horizontal="center" vertical="center"/>
      <protection/>
    </xf>
    <xf numFmtId="43" fontId="21" fillId="0" borderId="28" xfId="2044" applyNumberFormat="1" applyFont="1" applyFill="1" applyBorder="1" applyAlignment="1">
      <alignment horizontal="center" vertical="center"/>
    </xf>
    <xf numFmtId="0" fontId="81" fillId="0" borderId="28" xfId="839" applyFont="1" applyBorder="1" applyAlignment="1">
      <alignment horizontal="center" vertical="center" wrapText="1"/>
      <protection/>
    </xf>
    <xf numFmtId="43" fontId="21" fillId="0" borderId="28" xfId="2044" applyFont="1" applyFill="1" applyBorder="1" applyAlignment="1">
      <alignment horizontal="center" vertical="center"/>
    </xf>
    <xf numFmtId="4" fontId="103" fillId="0" borderId="47" xfId="839" applyNumberFormat="1" applyFont="1" applyBorder="1" applyAlignment="1">
      <alignment horizontal="center" vertical="center"/>
      <protection/>
    </xf>
    <xf numFmtId="4" fontId="103" fillId="0" borderId="48" xfId="839" applyNumberFormat="1" applyFont="1" applyBorder="1" applyAlignment="1">
      <alignment horizontal="center" vertical="center"/>
      <protection/>
    </xf>
    <xf numFmtId="43" fontId="21" fillId="0" borderId="29" xfId="2044" applyFont="1" applyFill="1" applyBorder="1" applyAlignment="1">
      <alignment horizontal="center" vertical="center"/>
    </xf>
    <xf numFmtId="43" fontId="21" fillId="0" borderId="30" xfId="2044" applyFont="1" applyFill="1" applyBorder="1" applyAlignment="1">
      <alignment horizontal="center" vertical="center"/>
    </xf>
    <xf numFmtId="43" fontId="21" fillId="0" borderId="31" xfId="2044" applyFont="1" applyFill="1" applyBorder="1" applyAlignment="1">
      <alignment horizontal="center" vertical="center"/>
    </xf>
    <xf numFmtId="4" fontId="103" fillId="0" borderId="47" xfId="2044" applyNumberFormat="1" applyFont="1" applyBorder="1" applyAlignment="1">
      <alignment horizontal="center" vertical="center"/>
    </xf>
    <xf numFmtId="4" fontId="103" fillId="0" borderId="48" xfId="2044" applyNumberFormat="1" applyFont="1" applyBorder="1" applyAlignment="1">
      <alignment horizontal="center" vertical="center"/>
    </xf>
    <xf numFmtId="4" fontId="103" fillId="0" borderId="37" xfId="2044" applyNumberFormat="1" applyFont="1" applyBorder="1" applyAlignment="1">
      <alignment horizontal="center" vertical="center"/>
    </xf>
    <xf numFmtId="43" fontId="75" fillId="0" borderId="47" xfId="2044" applyFont="1" applyBorder="1" applyAlignment="1">
      <alignment horizontal="center" vertical="center"/>
    </xf>
    <xf numFmtId="43" fontId="75" fillId="0" borderId="48" xfId="2044" applyFont="1" applyBorder="1" applyAlignment="1">
      <alignment horizontal="center" vertical="center"/>
    </xf>
    <xf numFmtId="43" fontId="75" fillId="0" borderId="37" xfId="2044" applyFont="1" applyBorder="1" applyAlignment="1">
      <alignment horizontal="center" vertical="center"/>
    </xf>
    <xf numFmtId="4" fontId="103" fillId="0" borderId="37" xfId="839" applyNumberFormat="1" applyFont="1" applyBorder="1" applyAlignment="1">
      <alignment horizontal="center" vertical="center"/>
      <protection/>
    </xf>
    <xf numFmtId="43" fontId="103" fillId="0" borderId="47" xfId="2044" applyFont="1" applyBorder="1" applyAlignment="1">
      <alignment horizontal="center" vertical="center"/>
    </xf>
    <xf numFmtId="43" fontId="103" fillId="0" borderId="48" xfId="2044" applyFont="1" applyBorder="1" applyAlignment="1">
      <alignment horizontal="center" vertical="center"/>
    </xf>
    <xf numFmtId="43" fontId="103" fillId="0" borderId="37" xfId="2044" applyFont="1" applyBorder="1" applyAlignment="1">
      <alignment horizontal="center" vertical="center"/>
    </xf>
    <xf numFmtId="0" fontId="25" fillId="0" borderId="0" xfId="898" applyFont="1" applyFill="1" applyBorder="1" applyAlignment="1" applyProtection="1">
      <alignment horizontal="center" vertical="center"/>
      <protection/>
    </xf>
    <xf numFmtId="0" fontId="25" fillId="0" borderId="0" xfId="887" applyFont="1" applyFill="1" applyBorder="1" applyAlignment="1" applyProtection="1">
      <alignment horizontal="center" vertical="center" wrapText="1"/>
      <protection/>
    </xf>
    <xf numFmtId="0" fontId="123" fillId="0" borderId="28" xfId="839" applyFont="1" applyBorder="1" applyAlignment="1">
      <alignment horizontal="right" vertical="center"/>
      <protection/>
    </xf>
    <xf numFmtId="0" fontId="123" fillId="0" borderId="47" xfId="839" applyFont="1" applyBorder="1" applyAlignment="1">
      <alignment horizontal="right" vertical="center"/>
      <protection/>
    </xf>
    <xf numFmtId="0" fontId="123" fillId="0" borderId="48" xfId="839" applyFont="1" applyBorder="1" applyAlignment="1">
      <alignment horizontal="right" vertical="center"/>
      <protection/>
    </xf>
    <xf numFmtId="0" fontId="123" fillId="0" borderId="37" xfId="839" applyFont="1" applyBorder="1" applyAlignment="1">
      <alignment horizontal="right" vertical="center"/>
      <protection/>
    </xf>
    <xf numFmtId="0" fontId="103" fillId="0" borderId="28" xfId="839" applyFont="1" applyBorder="1" applyAlignment="1">
      <alignment horizontal="center" vertical="center"/>
      <protection/>
    </xf>
    <xf numFmtId="169" fontId="1" fillId="0" borderId="0" xfId="918" applyNumberFormat="1" applyFont="1" applyAlignment="1">
      <alignment horizontal="center" vertical="center"/>
      <protection/>
    </xf>
    <xf numFmtId="10" fontId="1" fillId="0" borderId="0" xfId="918" applyNumberFormat="1" applyFont="1" applyAlignment="1">
      <alignment horizontal="left" vertical="center"/>
      <protection/>
    </xf>
    <xf numFmtId="0" fontId="1" fillId="0" borderId="0" xfId="918" applyFont="1" applyAlignment="1" quotePrefix="1">
      <alignment horizontal="left" vertical="center"/>
      <protection/>
    </xf>
    <xf numFmtId="0" fontId="1" fillId="0" borderId="0" xfId="918" applyFont="1" applyAlignment="1">
      <alignment horizontal="left" vertical="center"/>
      <protection/>
    </xf>
    <xf numFmtId="0" fontId="26" fillId="71" borderId="0" xfId="0" applyFont="1" applyFill="1" applyBorder="1" applyAlignment="1" quotePrefix="1">
      <alignment horizontal="center" vertical="center"/>
    </xf>
    <xf numFmtId="0" fontId="26" fillId="71" borderId="33" xfId="0" applyFont="1" applyFill="1" applyBorder="1" applyAlignment="1" quotePrefix="1">
      <alignment horizontal="center" vertical="center"/>
    </xf>
    <xf numFmtId="0" fontId="5" fillId="110" borderId="0" xfId="918" applyFont="1" applyFill="1" applyAlignment="1">
      <alignment horizontal="center" vertical="center"/>
      <protection/>
    </xf>
    <xf numFmtId="168" fontId="1" fillId="0" borderId="0" xfId="918" applyNumberFormat="1" applyFont="1" applyAlignment="1">
      <alignment horizontal="left" vertical="center"/>
      <protection/>
    </xf>
    <xf numFmtId="0" fontId="5" fillId="96" borderId="47" xfId="918" applyFont="1" applyFill="1" applyBorder="1" applyAlignment="1">
      <alignment horizontal="center" vertical="center"/>
      <protection/>
    </xf>
    <xf numFmtId="0" fontId="5" fillId="96" borderId="48" xfId="918" applyFont="1" applyFill="1" applyBorder="1" applyAlignment="1">
      <alignment horizontal="center" vertical="center"/>
      <protection/>
    </xf>
    <xf numFmtId="0" fontId="5" fillId="96" borderId="37" xfId="918" applyFont="1" applyFill="1" applyBorder="1" applyAlignment="1">
      <alignment horizontal="center" vertical="center"/>
      <protection/>
    </xf>
    <xf numFmtId="0" fontId="116" fillId="107" borderId="48" xfId="830" applyNumberFormat="1" applyFont="1" applyFill="1" applyBorder="1" applyAlignment="1">
      <alignment horizontal="left" vertical="center"/>
      <protection/>
    </xf>
  </cellXfs>
  <cellStyles count="249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 2 2" xfId="24"/>
    <cellStyle name="20% - Ênfase1 2 2 2 2" xfId="25"/>
    <cellStyle name="20% - Ênfase1 2 2 2 2 2" xfId="26"/>
    <cellStyle name="20% - Ênfase1 2 2 2 3" xfId="27"/>
    <cellStyle name="20% - Ênfase1 2 2 2 3 2" xfId="28"/>
    <cellStyle name="20% - Ênfase1 2 2 2 4" xfId="29"/>
    <cellStyle name="20% - Ênfase1 2 2 2_Anexo III - PLO ATA RJ 21_10_15" xfId="30"/>
    <cellStyle name="20% - Ênfase1 2 2 3" xfId="31"/>
    <cellStyle name="20% - Ênfase1 2 2 3 2" xfId="32"/>
    <cellStyle name="20% - Ênfase1 2 2 4" xfId="33"/>
    <cellStyle name="20% - Ênfase1 2 2 4 2" xfId="34"/>
    <cellStyle name="20% - Ênfase1 2 2 5" xfId="35"/>
    <cellStyle name="20% - Ênfase1 2 2_Anexo III - PLO ATA RJ 21_10_15" xfId="36"/>
    <cellStyle name="20% - Ênfase1 2 3" xfId="37"/>
    <cellStyle name="20% - Ênfase1 2 3 2" xfId="38"/>
    <cellStyle name="20% - Ênfase1 2 3 2 2" xfId="39"/>
    <cellStyle name="20% - Ênfase1 2 3 3" xfId="40"/>
    <cellStyle name="20% - Ênfase1 2 3 3 2" xfId="41"/>
    <cellStyle name="20% - Ênfase1 2 3 4" xfId="42"/>
    <cellStyle name="20% - Ênfase1 2 3_Anexo III - PLO ATA RJ 21_10_15" xfId="43"/>
    <cellStyle name="20% - Ênfase1 2 4" xfId="44"/>
    <cellStyle name="20% - Ênfase1 2 4 2" xfId="45"/>
    <cellStyle name="20% - Ênfase1 2 5" xfId="46"/>
    <cellStyle name="20% - Ênfase1 2 5 2" xfId="47"/>
    <cellStyle name="20% - Ênfase1 2 6" xfId="48"/>
    <cellStyle name="20% - Ênfase1 2 6 2" xfId="49"/>
    <cellStyle name="20% - Ênfase1 2 7" xfId="50"/>
    <cellStyle name="20% - Ênfase1 2 8" xfId="51"/>
    <cellStyle name="20% - Ênfase1 2_Anexo III - PLO ATA RJ 21_10_15" xfId="52"/>
    <cellStyle name="20% - Ênfase1 3" xfId="53"/>
    <cellStyle name="20% - Ênfase1 3 2" xfId="54"/>
    <cellStyle name="20% - Ênfase1 4" xfId="55"/>
    <cellStyle name="20% - Ênfase1 5" xfId="56"/>
    <cellStyle name="20% - Ênfase1 6" xfId="57"/>
    <cellStyle name="20% - Ênfase2" xfId="58"/>
    <cellStyle name="20% - Ênfase2 2" xfId="59"/>
    <cellStyle name="20% - Ênfase2 2 2" xfId="60"/>
    <cellStyle name="20% - Ênfase2 2 2 2" xfId="61"/>
    <cellStyle name="20% - Ênfase2 2 2 2 2" xfId="62"/>
    <cellStyle name="20% - Ênfase2 2 2 2 2 2" xfId="63"/>
    <cellStyle name="20% - Ênfase2 2 2 2 3" xfId="64"/>
    <cellStyle name="20% - Ênfase2 2 2 2 3 2" xfId="65"/>
    <cellStyle name="20% - Ênfase2 2 2 2 4" xfId="66"/>
    <cellStyle name="20% - Ênfase2 2 2 2_Anexo III - PLO ATA RJ 21_10_15" xfId="67"/>
    <cellStyle name="20% - Ênfase2 2 2 3" xfId="68"/>
    <cellStyle name="20% - Ênfase2 2 2 3 2" xfId="69"/>
    <cellStyle name="20% - Ênfase2 2 2 4" xfId="70"/>
    <cellStyle name="20% - Ênfase2 2 2 4 2" xfId="71"/>
    <cellStyle name="20% - Ênfase2 2 2 5" xfId="72"/>
    <cellStyle name="20% - Ênfase2 2 2_Anexo III - PLO ATA RJ 21_10_15" xfId="73"/>
    <cellStyle name="20% - Ênfase2 2 3" xfId="74"/>
    <cellStyle name="20% - Ênfase2 2 3 2" xfId="75"/>
    <cellStyle name="20% - Ênfase2 2 3 2 2" xfId="76"/>
    <cellStyle name="20% - Ênfase2 2 3 3" xfId="77"/>
    <cellStyle name="20% - Ênfase2 2 3 3 2" xfId="78"/>
    <cellStyle name="20% - Ênfase2 2 3 4" xfId="79"/>
    <cellStyle name="20% - Ênfase2 2 3_Anexo III - PLO ATA RJ 21_10_15" xfId="80"/>
    <cellStyle name="20% - Ênfase2 2 4" xfId="81"/>
    <cellStyle name="20% - Ênfase2 2 4 2" xfId="82"/>
    <cellStyle name="20% - Ênfase2 2 5" xfId="83"/>
    <cellStyle name="20% - Ênfase2 2 5 2" xfId="84"/>
    <cellStyle name="20% - Ênfase2 2 6" xfId="85"/>
    <cellStyle name="20% - Ênfase2 2 6 2" xfId="86"/>
    <cellStyle name="20% - Ênfase2 2 7" xfId="87"/>
    <cellStyle name="20% - Ênfase2 2 8" xfId="88"/>
    <cellStyle name="20% - Ênfase2 2_Anexo III - PLO ATA RJ 21_10_15" xfId="89"/>
    <cellStyle name="20% - Ênfase2 3" xfId="90"/>
    <cellStyle name="20% - Ênfase2 3 2" xfId="91"/>
    <cellStyle name="20% - Ênfase2 4" xfId="92"/>
    <cellStyle name="20% - Ênfase2 5" xfId="93"/>
    <cellStyle name="20% - Ênfase2 6" xfId="94"/>
    <cellStyle name="20% - Ênfase3" xfId="95"/>
    <cellStyle name="20% - Ênfase3 2" xfId="96"/>
    <cellStyle name="20% - Ênfase3 2 2" xfId="97"/>
    <cellStyle name="20% - Ênfase3 2 2 2" xfId="98"/>
    <cellStyle name="20% - Ênfase3 2 2 2 2" xfId="99"/>
    <cellStyle name="20% - Ênfase3 2 2 2 2 2" xfId="100"/>
    <cellStyle name="20% - Ênfase3 2 2 2 3" xfId="101"/>
    <cellStyle name="20% - Ênfase3 2 2 2 3 2" xfId="102"/>
    <cellStyle name="20% - Ênfase3 2 2 2 4" xfId="103"/>
    <cellStyle name="20% - Ênfase3 2 2 2_Anexo III - PLO ATA RJ 21_10_15" xfId="104"/>
    <cellStyle name="20% - Ênfase3 2 2 3" xfId="105"/>
    <cellStyle name="20% - Ênfase3 2 2 3 2" xfId="106"/>
    <cellStyle name="20% - Ênfase3 2 2 4" xfId="107"/>
    <cellStyle name="20% - Ênfase3 2 2 4 2" xfId="108"/>
    <cellStyle name="20% - Ênfase3 2 2 5" xfId="109"/>
    <cellStyle name="20% - Ênfase3 2 2_Anexo III - PLO ATA RJ 21_10_15" xfId="110"/>
    <cellStyle name="20% - Ênfase3 2 3" xfId="111"/>
    <cellStyle name="20% - Ênfase3 2 3 2" xfId="112"/>
    <cellStyle name="20% - Ênfase3 2 3 2 2" xfId="113"/>
    <cellStyle name="20% - Ênfase3 2 3 3" xfId="114"/>
    <cellStyle name="20% - Ênfase3 2 3 3 2" xfId="115"/>
    <cellStyle name="20% - Ênfase3 2 3 4" xfId="116"/>
    <cellStyle name="20% - Ênfase3 2 3_Anexo III - PLO ATA RJ 21_10_15" xfId="117"/>
    <cellStyle name="20% - Ênfase3 2 4" xfId="118"/>
    <cellStyle name="20% - Ênfase3 2 4 2" xfId="119"/>
    <cellStyle name="20% - Ênfase3 2 5" xfId="120"/>
    <cellStyle name="20% - Ênfase3 2 5 2" xfId="121"/>
    <cellStyle name="20% - Ênfase3 2 6" xfId="122"/>
    <cellStyle name="20% - Ênfase3 2 6 2" xfId="123"/>
    <cellStyle name="20% - Ênfase3 2 7" xfId="124"/>
    <cellStyle name="20% - Ênfase3 2 8" xfId="125"/>
    <cellStyle name="20% - Ênfase3 2_Anexo III - PLO ATA RJ 21_10_15" xfId="126"/>
    <cellStyle name="20% - Ênfase3 3" xfId="127"/>
    <cellStyle name="20% - Ênfase3 3 2" xfId="128"/>
    <cellStyle name="20% - Ênfase3 4" xfId="129"/>
    <cellStyle name="20% - Ênfase3 5" xfId="130"/>
    <cellStyle name="20% - Ênfase3 6" xfId="131"/>
    <cellStyle name="20% - Ênfase4" xfId="132"/>
    <cellStyle name="20% - Ênfase4 2" xfId="133"/>
    <cellStyle name="20% - Ênfase4 2 2" xfId="134"/>
    <cellStyle name="20% - Ênfase4 2 2 2" xfId="135"/>
    <cellStyle name="20% - Ênfase4 2 2 2 2" xfId="136"/>
    <cellStyle name="20% - Ênfase4 2 2 2 2 2" xfId="137"/>
    <cellStyle name="20% - Ênfase4 2 2 2 3" xfId="138"/>
    <cellStyle name="20% - Ênfase4 2 2 2 3 2" xfId="139"/>
    <cellStyle name="20% - Ênfase4 2 2 2 4" xfId="140"/>
    <cellStyle name="20% - Ênfase4 2 2 2_Anexo III - PLO ATA RJ 21_10_15" xfId="141"/>
    <cellStyle name="20% - Ênfase4 2 2 3" xfId="142"/>
    <cellStyle name="20% - Ênfase4 2 2 3 2" xfId="143"/>
    <cellStyle name="20% - Ênfase4 2 2 4" xfId="144"/>
    <cellStyle name="20% - Ênfase4 2 2 4 2" xfId="145"/>
    <cellStyle name="20% - Ênfase4 2 2 5" xfId="146"/>
    <cellStyle name="20% - Ênfase4 2 2_Anexo III - PLO ATA RJ 21_10_15" xfId="147"/>
    <cellStyle name="20% - Ênfase4 2 3" xfId="148"/>
    <cellStyle name="20% - Ênfase4 2 3 2" xfId="149"/>
    <cellStyle name="20% - Ênfase4 2 3 2 2" xfId="150"/>
    <cellStyle name="20% - Ênfase4 2 3 3" xfId="151"/>
    <cellStyle name="20% - Ênfase4 2 3 3 2" xfId="152"/>
    <cellStyle name="20% - Ênfase4 2 3 4" xfId="153"/>
    <cellStyle name="20% - Ênfase4 2 3_Anexo III - PLO ATA RJ 21_10_15" xfId="154"/>
    <cellStyle name="20% - Ênfase4 2 4" xfId="155"/>
    <cellStyle name="20% - Ênfase4 2 4 2" xfId="156"/>
    <cellStyle name="20% - Ênfase4 2 5" xfId="157"/>
    <cellStyle name="20% - Ênfase4 2 5 2" xfId="158"/>
    <cellStyle name="20% - Ênfase4 2 6" xfId="159"/>
    <cellStyle name="20% - Ênfase4 2 6 2" xfId="160"/>
    <cellStyle name="20% - Ênfase4 2 7" xfId="161"/>
    <cellStyle name="20% - Ênfase4 2 8" xfId="162"/>
    <cellStyle name="20% - Ênfase4 2_Anexo III - PLO ATA RJ 21_10_15" xfId="163"/>
    <cellStyle name="20% - Ênfase4 3" xfId="164"/>
    <cellStyle name="20% - Ênfase4 3 2" xfId="165"/>
    <cellStyle name="20% - Ênfase4 4" xfId="166"/>
    <cellStyle name="20% - Ênfase4 5" xfId="167"/>
    <cellStyle name="20% - Ênfase4 6" xfId="168"/>
    <cellStyle name="20% - Ênfase5" xfId="169"/>
    <cellStyle name="20% - Ênfase5 2" xfId="170"/>
    <cellStyle name="20% - Ênfase5 2 2" xfId="171"/>
    <cellStyle name="20% - Ênfase5 2 2 2" xfId="172"/>
    <cellStyle name="20% - Ênfase5 2 2 2 2" xfId="173"/>
    <cellStyle name="20% - Ênfase5 2 2 2 2 2" xfId="174"/>
    <cellStyle name="20% - Ênfase5 2 2 2 3" xfId="175"/>
    <cellStyle name="20% - Ênfase5 2 2 2 3 2" xfId="176"/>
    <cellStyle name="20% - Ênfase5 2 2 2 4" xfId="177"/>
    <cellStyle name="20% - Ênfase5 2 2 2_Anexo III - PLO ATA RJ 21_10_15" xfId="178"/>
    <cellStyle name="20% - Ênfase5 2 2 3" xfId="179"/>
    <cellStyle name="20% - Ênfase5 2 2 3 2" xfId="180"/>
    <cellStyle name="20% - Ênfase5 2 2 4" xfId="181"/>
    <cellStyle name="20% - Ênfase5 2 2 4 2" xfId="182"/>
    <cellStyle name="20% - Ênfase5 2 2 5" xfId="183"/>
    <cellStyle name="20% - Ênfase5 2 2_Anexo III - PLO ATA RJ 21_10_15" xfId="184"/>
    <cellStyle name="20% - Ênfase5 2 3" xfId="185"/>
    <cellStyle name="20% - Ênfase5 2 3 2" xfId="186"/>
    <cellStyle name="20% - Ênfase5 2 3 2 2" xfId="187"/>
    <cellStyle name="20% - Ênfase5 2 3 3" xfId="188"/>
    <cellStyle name="20% - Ênfase5 2 3 3 2" xfId="189"/>
    <cellStyle name="20% - Ênfase5 2 3 4" xfId="190"/>
    <cellStyle name="20% - Ênfase5 2 3_Anexo III - PLO ATA RJ 21_10_15" xfId="191"/>
    <cellStyle name="20% - Ênfase5 2 4" xfId="192"/>
    <cellStyle name="20% - Ênfase5 2 4 2" xfId="193"/>
    <cellStyle name="20% - Ênfase5 2 5" xfId="194"/>
    <cellStyle name="20% - Ênfase5 2 5 2" xfId="195"/>
    <cellStyle name="20% - Ênfase5 2 6" xfId="196"/>
    <cellStyle name="20% - Ênfase5 2 6 2" xfId="197"/>
    <cellStyle name="20% - Ênfase5 2 7" xfId="198"/>
    <cellStyle name="20% - Ênfase5 2 8" xfId="199"/>
    <cellStyle name="20% - Ênfase5 2_Anexo III - PLO ATA RJ 21_10_15" xfId="200"/>
    <cellStyle name="20% - Ênfase5 3" xfId="201"/>
    <cellStyle name="20% - Ênfase5 3 2" xfId="202"/>
    <cellStyle name="20% - Ênfase5 4" xfId="203"/>
    <cellStyle name="20% - Ênfase5 5" xfId="204"/>
    <cellStyle name="20% - Ênfase6" xfId="205"/>
    <cellStyle name="20% - Ênfase6 2" xfId="206"/>
    <cellStyle name="20% - Ênfase6 2 2" xfId="207"/>
    <cellStyle name="20% - Ênfase6 2 2 2" xfId="208"/>
    <cellStyle name="20% - Ênfase6 2 2 2 2" xfId="209"/>
    <cellStyle name="20% - Ênfase6 2 2 2 2 2" xfId="210"/>
    <cellStyle name="20% - Ênfase6 2 2 2 3" xfId="211"/>
    <cellStyle name="20% - Ênfase6 2 2 2 3 2" xfId="212"/>
    <cellStyle name="20% - Ênfase6 2 2 2 4" xfId="213"/>
    <cellStyle name="20% - Ênfase6 2 2 2_Anexo III - PLO ATA RJ 21_10_15" xfId="214"/>
    <cellStyle name="20% - Ênfase6 2 2 3" xfId="215"/>
    <cellStyle name="20% - Ênfase6 2 2 3 2" xfId="216"/>
    <cellStyle name="20% - Ênfase6 2 2 4" xfId="217"/>
    <cellStyle name="20% - Ênfase6 2 2 4 2" xfId="218"/>
    <cellStyle name="20% - Ênfase6 2 2 5" xfId="219"/>
    <cellStyle name="20% - Ênfase6 2 2_Anexo III - PLO ATA RJ 21_10_15" xfId="220"/>
    <cellStyle name="20% - Ênfase6 2 3" xfId="221"/>
    <cellStyle name="20% - Ênfase6 2 3 2" xfId="222"/>
    <cellStyle name="20% - Ênfase6 2 3 2 2" xfId="223"/>
    <cellStyle name="20% - Ênfase6 2 3 3" xfId="224"/>
    <cellStyle name="20% - Ênfase6 2 3 3 2" xfId="225"/>
    <cellStyle name="20% - Ênfase6 2 3 4" xfId="226"/>
    <cellStyle name="20% - Ênfase6 2 3_Anexo III - PLO ATA RJ 21_10_15" xfId="227"/>
    <cellStyle name="20% - Ênfase6 2 4" xfId="228"/>
    <cellStyle name="20% - Ênfase6 2 4 2" xfId="229"/>
    <cellStyle name="20% - Ênfase6 2 5" xfId="230"/>
    <cellStyle name="20% - Ênfase6 2 5 2" xfId="231"/>
    <cellStyle name="20% - Ênfase6 2 6" xfId="232"/>
    <cellStyle name="20% - Ênfase6 2 6 2" xfId="233"/>
    <cellStyle name="20% - Ênfase6 2 7" xfId="234"/>
    <cellStyle name="20% - Ênfase6 2 8" xfId="235"/>
    <cellStyle name="20% - Ênfase6 2_Anexo III - PLO ATA RJ 21_10_15" xfId="236"/>
    <cellStyle name="20% - Ênfase6 3" xfId="237"/>
    <cellStyle name="20% - Ênfase6 3 2" xfId="238"/>
    <cellStyle name="20% - Ênfase6 4" xfId="239"/>
    <cellStyle name="20% - Ênfase6 5" xfId="240"/>
    <cellStyle name="40% - Accent1" xfId="241"/>
    <cellStyle name="40% - Accent2" xfId="242"/>
    <cellStyle name="40% - Accent3" xfId="243"/>
    <cellStyle name="40% - Accent4" xfId="244"/>
    <cellStyle name="40% - Accent5" xfId="245"/>
    <cellStyle name="40% - Accent6" xfId="246"/>
    <cellStyle name="40% - Ênfase1" xfId="247"/>
    <cellStyle name="40% - Ênfase1 2" xfId="248"/>
    <cellStyle name="40% - Ênfase1 2 2" xfId="249"/>
    <cellStyle name="40% - Ênfase1 2 2 2" xfId="250"/>
    <cellStyle name="40% - Ênfase1 2 2 2 2" xfId="251"/>
    <cellStyle name="40% - Ênfase1 2 2 2 2 2" xfId="252"/>
    <cellStyle name="40% - Ênfase1 2 2 2 3" xfId="253"/>
    <cellStyle name="40% - Ênfase1 2 2 2 3 2" xfId="254"/>
    <cellStyle name="40% - Ênfase1 2 2 2 4" xfId="255"/>
    <cellStyle name="40% - Ênfase1 2 2 2_Anexo III - PLO ATA RJ 21_10_15" xfId="256"/>
    <cellStyle name="40% - Ênfase1 2 2 3" xfId="257"/>
    <cellStyle name="40% - Ênfase1 2 2 3 2" xfId="258"/>
    <cellStyle name="40% - Ênfase1 2 2 4" xfId="259"/>
    <cellStyle name="40% - Ênfase1 2 2 4 2" xfId="260"/>
    <cellStyle name="40% - Ênfase1 2 2 5" xfId="261"/>
    <cellStyle name="40% - Ênfase1 2 2_Anexo III - PLO ATA RJ 21_10_15" xfId="262"/>
    <cellStyle name="40% - Ênfase1 2 3" xfId="263"/>
    <cellStyle name="40% - Ênfase1 2 3 2" xfId="264"/>
    <cellStyle name="40% - Ênfase1 2 3 2 2" xfId="265"/>
    <cellStyle name="40% - Ênfase1 2 3 3" xfId="266"/>
    <cellStyle name="40% - Ênfase1 2 3 3 2" xfId="267"/>
    <cellStyle name="40% - Ênfase1 2 3 4" xfId="268"/>
    <cellStyle name="40% - Ênfase1 2 3_Anexo III - PLO ATA RJ 21_10_15" xfId="269"/>
    <cellStyle name="40% - Ênfase1 2 4" xfId="270"/>
    <cellStyle name="40% - Ênfase1 2 4 2" xfId="271"/>
    <cellStyle name="40% - Ênfase1 2 5" xfId="272"/>
    <cellStyle name="40% - Ênfase1 2 5 2" xfId="273"/>
    <cellStyle name="40% - Ênfase1 2 6" xfId="274"/>
    <cellStyle name="40% - Ênfase1 2 6 2" xfId="275"/>
    <cellStyle name="40% - Ênfase1 2 7" xfId="276"/>
    <cellStyle name="40% - Ênfase1 2 8" xfId="277"/>
    <cellStyle name="40% - Ênfase1 2_Anexo III - PLO ATA RJ 21_10_15" xfId="278"/>
    <cellStyle name="40% - Ênfase1 3" xfId="279"/>
    <cellStyle name="40% - Ênfase1 3 2" xfId="280"/>
    <cellStyle name="40% - Ênfase1 4" xfId="281"/>
    <cellStyle name="40% - Ênfase1 5" xfId="282"/>
    <cellStyle name="40% - Ênfase2" xfId="283"/>
    <cellStyle name="40% - Ênfase2 2" xfId="284"/>
    <cellStyle name="40% - Ênfase2 2 2" xfId="285"/>
    <cellStyle name="40% - Ênfase2 2 2 2" xfId="286"/>
    <cellStyle name="40% - Ênfase2 2 2 2 2" xfId="287"/>
    <cellStyle name="40% - Ênfase2 2 2 2 2 2" xfId="288"/>
    <cellStyle name="40% - Ênfase2 2 2 2 3" xfId="289"/>
    <cellStyle name="40% - Ênfase2 2 2 2 3 2" xfId="290"/>
    <cellStyle name="40% - Ênfase2 2 2 2 4" xfId="291"/>
    <cellStyle name="40% - Ênfase2 2 2 2_Anexo III - PLO ATA RJ 21_10_15" xfId="292"/>
    <cellStyle name="40% - Ênfase2 2 2 3" xfId="293"/>
    <cellStyle name="40% - Ênfase2 2 2 3 2" xfId="294"/>
    <cellStyle name="40% - Ênfase2 2 2 4" xfId="295"/>
    <cellStyle name="40% - Ênfase2 2 2 4 2" xfId="296"/>
    <cellStyle name="40% - Ênfase2 2 2 5" xfId="297"/>
    <cellStyle name="40% - Ênfase2 2 2_Anexo III - PLO ATA RJ 21_10_15" xfId="298"/>
    <cellStyle name="40% - Ênfase2 2 3" xfId="299"/>
    <cellStyle name="40% - Ênfase2 2 3 2" xfId="300"/>
    <cellStyle name="40% - Ênfase2 2 3 2 2" xfId="301"/>
    <cellStyle name="40% - Ênfase2 2 3 3" xfId="302"/>
    <cellStyle name="40% - Ênfase2 2 3 3 2" xfId="303"/>
    <cellStyle name="40% - Ênfase2 2 3 4" xfId="304"/>
    <cellStyle name="40% - Ênfase2 2 3_Anexo III - PLO ATA RJ 21_10_15" xfId="305"/>
    <cellStyle name="40% - Ênfase2 2 4" xfId="306"/>
    <cellStyle name="40% - Ênfase2 2 4 2" xfId="307"/>
    <cellStyle name="40% - Ênfase2 2 5" xfId="308"/>
    <cellStyle name="40% - Ênfase2 2 5 2" xfId="309"/>
    <cellStyle name="40% - Ênfase2 2 6" xfId="310"/>
    <cellStyle name="40% - Ênfase2 2 6 2" xfId="311"/>
    <cellStyle name="40% - Ênfase2 2 7" xfId="312"/>
    <cellStyle name="40% - Ênfase2 2 8" xfId="313"/>
    <cellStyle name="40% - Ênfase2 2_Anexo III - PLO ATA RJ 21_10_15" xfId="314"/>
    <cellStyle name="40% - Ênfase2 3" xfId="315"/>
    <cellStyle name="40% - Ênfase2 3 2" xfId="316"/>
    <cellStyle name="40% - Ênfase2 4" xfId="317"/>
    <cellStyle name="40% - Ênfase2 5" xfId="318"/>
    <cellStyle name="40% - Ênfase3" xfId="319"/>
    <cellStyle name="40% - Ênfase3 2" xfId="320"/>
    <cellStyle name="40% - Ênfase3 2 2" xfId="321"/>
    <cellStyle name="40% - Ênfase3 2 2 2" xfId="322"/>
    <cellStyle name="40% - Ênfase3 2 2 2 2" xfId="323"/>
    <cellStyle name="40% - Ênfase3 2 2 2 2 2" xfId="324"/>
    <cellStyle name="40% - Ênfase3 2 2 2 3" xfId="325"/>
    <cellStyle name="40% - Ênfase3 2 2 2 3 2" xfId="326"/>
    <cellStyle name="40% - Ênfase3 2 2 2 4" xfId="327"/>
    <cellStyle name="40% - Ênfase3 2 2 2_Anexo III - PLO ATA RJ 21_10_15" xfId="328"/>
    <cellStyle name="40% - Ênfase3 2 2 3" xfId="329"/>
    <cellStyle name="40% - Ênfase3 2 2 3 2" xfId="330"/>
    <cellStyle name="40% - Ênfase3 2 2 4" xfId="331"/>
    <cellStyle name="40% - Ênfase3 2 2 4 2" xfId="332"/>
    <cellStyle name="40% - Ênfase3 2 2 5" xfId="333"/>
    <cellStyle name="40% - Ênfase3 2 2_Anexo III - PLO ATA RJ 21_10_15" xfId="334"/>
    <cellStyle name="40% - Ênfase3 2 3" xfId="335"/>
    <cellStyle name="40% - Ênfase3 2 3 2" xfId="336"/>
    <cellStyle name="40% - Ênfase3 2 3 2 2" xfId="337"/>
    <cellStyle name="40% - Ênfase3 2 3 3" xfId="338"/>
    <cellStyle name="40% - Ênfase3 2 3 3 2" xfId="339"/>
    <cellStyle name="40% - Ênfase3 2 3 4" xfId="340"/>
    <cellStyle name="40% - Ênfase3 2 3_Anexo III - PLO ATA RJ 21_10_15" xfId="341"/>
    <cellStyle name="40% - Ênfase3 2 4" xfId="342"/>
    <cellStyle name="40% - Ênfase3 2 4 2" xfId="343"/>
    <cellStyle name="40% - Ênfase3 2 5" xfId="344"/>
    <cellStyle name="40% - Ênfase3 2 5 2" xfId="345"/>
    <cellStyle name="40% - Ênfase3 2 6" xfId="346"/>
    <cellStyle name="40% - Ênfase3 2 6 2" xfId="347"/>
    <cellStyle name="40% - Ênfase3 2 7" xfId="348"/>
    <cellStyle name="40% - Ênfase3 2 8" xfId="349"/>
    <cellStyle name="40% - Ênfase3 2_Anexo III - PLO ATA RJ 21_10_15" xfId="350"/>
    <cellStyle name="40% - Ênfase3 3" xfId="351"/>
    <cellStyle name="40% - Ênfase3 3 2" xfId="352"/>
    <cellStyle name="40% - Ênfase3 4" xfId="353"/>
    <cellStyle name="40% - Ênfase3 5" xfId="354"/>
    <cellStyle name="40% - Ênfase3 6" xfId="355"/>
    <cellStyle name="40% - Ênfase4" xfId="356"/>
    <cellStyle name="40% - Ênfase4 2" xfId="357"/>
    <cellStyle name="40% - Ênfase4 2 2" xfId="358"/>
    <cellStyle name="40% - Ênfase4 2 2 2" xfId="359"/>
    <cellStyle name="40% - Ênfase4 2 2 2 2" xfId="360"/>
    <cellStyle name="40% - Ênfase4 2 2 2 2 2" xfId="361"/>
    <cellStyle name="40% - Ênfase4 2 2 2 3" xfId="362"/>
    <cellStyle name="40% - Ênfase4 2 2 2 3 2" xfId="363"/>
    <cellStyle name="40% - Ênfase4 2 2 2 4" xfId="364"/>
    <cellStyle name="40% - Ênfase4 2 2 2_Anexo III - PLO ATA RJ 21_10_15" xfId="365"/>
    <cellStyle name="40% - Ênfase4 2 2 3" xfId="366"/>
    <cellStyle name="40% - Ênfase4 2 2 3 2" xfId="367"/>
    <cellStyle name="40% - Ênfase4 2 2 4" xfId="368"/>
    <cellStyle name="40% - Ênfase4 2 2 4 2" xfId="369"/>
    <cellStyle name="40% - Ênfase4 2 2 5" xfId="370"/>
    <cellStyle name="40% - Ênfase4 2 2_Anexo III - PLO ATA RJ 21_10_15" xfId="371"/>
    <cellStyle name="40% - Ênfase4 2 3" xfId="372"/>
    <cellStyle name="40% - Ênfase4 2 3 2" xfId="373"/>
    <cellStyle name="40% - Ênfase4 2 3 2 2" xfId="374"/>
    <cellStyle name="40% - Ênfase4 2 3 3" xfId="375"/>
    <cellStyle name="40% - Ênfase4 2 3 3 2" xfId="376"/>
    <cellStyle name="40% - Ênfase4 2 3 4" xfId="377"/>
    <cellStyle name="40% - Ênfase4 2 3_Anexo III - PLO ATA RJ 21_10_15" xfId="378"/>
    <cellStyle name="40% - Ênfase4 2 4" xfId="379"/>
    <cellStyle name="40% - Ênfase4 2 4 2" xfId="380"/>
    <cellStyle name="40% - Ênfase4 2 5" xfId="381"/>
    <cellStyle name="40% - Ênfase4 2 5 2" xfId="382"/>
    <cellStyle name="40% - Ênfase4 2 6" xfId="383"/>
    <cellStyle name="40% - Ênfase4 2 6 2" xfId="384"/>
    <cellStyle name="40% - Ênfase4 2 7" xfId="385"/>
    <cellStyle name="40% - Ênfase4 2 8" xfId="386"/>
    <cellStyle name="40% - Ênfase4 2_Anexo III - PLO ATA RJ 21_10_15" xfId="387"/>
    <cellStyle name="40% - Ênfase4 3" xfId="388"/>
    <cellStyle name="40% - Ênfase4 3 2" xfId="389"/>
    <cellStyle name="40% - Ênfase4 4" xfId="390"/>
    <cellStyle name="40% - Ênfase4 5" xfId="391"/>
    <cellStyle name="40% - Ênfase5" xfId="392"/>
    <cellStyle name="40% - Ênfase5 2" xfId="393"/>
    <cellStyle name="40% - Ênfase5 2 2" xfId="394"/>
    <cellStyle name="40% - Ênfase5 2 2 2" xfId="395"/>
    <cellStyle name="40% - Ênfase5 2 2 2 2" xfId="396"/>
    <cellStyle name="40% - Ênfase5 2 2 2 2 2" xfId="397"/>
    <cellStyle name="40% - Ênfase5 2 2 2 3" xfId="398"/>
    <cellStyle name="40% - Ênfase5 2 2 2 3 2" xfId="399"/>
    <cellStyle name="40% - Ênfase5 2 2 2 4" xfId="400"/>
    <cellStyle name="40% - Ênfase5 2 2 2_Anexo III - PLO ATA RJ 21_10_15" xfId="401"/>
    <cellStyle name="40% - Ênfase5 2 2 3" xfId="402"/>
    <cellStyle name="40% - Ênfase5 2 2 3 2" xfId="403"/>
    <cellStyle name="40% - Ênfase5 2 2 4" xfId="404"/>
    <cellStyle name="40% - Ênfase5 2 2 4 2" xfId="405"/>
    <cellStyle name="40% - Ênfase5 2 2 5" xfId="406"/>
    <cellStyle name="40% - Ênfase5 2 2_Anexo III - PLO ATA RJ 21_10_15" xfId="407"/>
    <cellStyle name="40% - Ênfase5 2 3" xfId="408"/>
    <cellStyle name="40% - Ênfase5 2 3 2" xfId="409"/>
    <cellStyle name="40% - Ênfase5 2 3 2 2" xfId="410"/>
    <cellStyle name="40% - Ênfase5 2 3 3" xfId="411"/>
    <cellStyle name="40% - Ênfase5 2 3 3 2" xfId="412"/>
    <cellStyle name="40% - Ênfase5 2 3 4" xfId="413"/>
    <cellStyle name="40% - Ênfase5 2 3_Anexo III - PLO ATA RJ 21_10_15" xfId="414"/>
    <cellStyle name="40% - Ênfase5 2 4" xfId="415"/>
    <cellStyle name="40% - Ênfase5 2 4 2" xfId="416"/>
    <cellStyle name="40% - Ênfase5 2 5" xfId="417"/>
    <cellStyle name="40% - Ênfase5 2 5 2" xfId="418"/>
    <cellStyle name="40% - Ênfase5 2 6" xfId="419"/>
    <cellStyle name="40% - Ênfase5 2 6 2" xfId="420"/>
    <cellStyle name="40% - Ênfase5 2 7" xfId="421"/>
    <cellStyle name="40% - Ênfase5 2 8" xfId="422"/>
    <cellStyle name="40% - Ênfase5 2_Anexo III - PLO ATA RJ 21_10_15" xfId="423"/>
    <cellStyle name="40% - Ênfase5 3" xfId="424"/>
    <cellStyle name="40% - Ênfase5 3 2" xfId="425"/>
    <cellStyle name="40% - Ênfase5 4" xfId="426"/>
    <cellStyle name="40% - Ênfase5 5" xfId="427"/>
    <cellStyle name="40% - Ênfase6" xfId="428"/>
    <cellStyle name="40% - Ênfase6 2" xfId="429"/>
    <cellStyle name="40% - Ênfase6 2 2" xfId="430"/>
    <cellStyle name="40% - Ênfase6 2 2 2" xfId="431"/>
    <cellStyle name="40% - Ênfase6 2 2 2 2" xfId="432"/>
    <cellStyle name="40% - Ênfase6 2 2 2 2 2" xfId="433"/>
    <cellStyle name="40% - Ênfase6 2 2 2 3" xfId="434"/>
    <cellStyle name="40% - Ênfase6 2 2 2 3 2" xfId="435"/>
    <cellStyle name="40% - Ênfase6 2 2 2 4" xfId="436"/>
    <cellStyle name="40% - Ênfase6 2 2 2_Anexo III - PLO ATA RJ 21_10_15" xfId="437"/>
    <cellStyle name="40% - Ênfase6 2 2 3" xfId="438"/>
    <cellStyle name="40% - Ênfase6 2 2 3 2" xfId="439"/>
    <cellStyle name="40% - Ênfase6 2 2 4" xfId="440"/>
    <cellStyle name="40% - Ênfase6 2 2 4 2" xfId="441"/>
    <cellStyle name="40% - Ênfase6 2 2 5" xfId="442"/>
    <cellStyle name="40% - Ênfase6 2 2_Anexo III - PLO ATA RJ 21_10_15" xfId="443"/>
    <cellStyle name="40% - Ênfase6 2 3" xfId="444"/>
    <cellStyle name="40% - Ênfase6 2 3 2" xfId="445"/>
    <cellStyle name="40% - Ênfase6 2 3 2 2" xfId="446"/>
    <cellStyle name="40% - Ênfase6 2 3 3" xfId="447"/>
    <cellStyle name="40% - Ênfase6 2 3 3 2" xfId="448"/>
    <cellStyle name="40% - Ênfase6 2 3 4" xfId="449"/>
    <cellStyle name="40% - Ênfase6 2 3_Anexo III - PLO ATA RJ 21_10_15" xfId="450"/>
    <cellStyle name="40% - Ênfase6 2 4" xfId="451"/>
    <cellStyle name="40% - Ênfase6 2 4 2" xfId="452"/>
    <cellStyle name="40% - Ênfase6 2 5" xfId="453"/>
    <cellStyle name="40% - Ênfase6 2 5 2" xfId="454"/>
    <cellStyle name="40% - Ênfase6 2 6" xfId="455"/>
    <cellStyle name="40% - Ênfase6 2 6 2" xfId="456"/>
    <cellStyle name="40% - Ênfase6 2 7" xfId="457"/>
    <cellStyle name="40% - Ênfase6 2 8" xfId="458"/>
    <cellStyle name="40% - Ênfase6 2_Anexo III - PLO ATA RJ 21_10_15" xfId="459"/>
    <cellStyle name="40% - Ênfase6 3" xfId="460"/>
    <cellStyle name="40% - Ênfase6 3 2" xfId="461"/>
    <cellStyle name="40% - Ênfase6 4" xfId="462"/>
    <cellStyle name="40% - Ênfase6 5" xfId="463"/>
    <cellStyle name="60% - Accent1" xfId="464"/>
    <cellStyle name="60% - Accent2" xfId="465"/>
    <cellStyle name="60% - Accent3" xfId="466"/>
    <cellStyle name="60% - Accent4" xfId="467"/>
    <cellStyle name="60% - Accent5" xfId="468"/>
    <cellStyle name="60% - Accent6" xfId="469"/>
    <cellStyle name="60% - Ênfase1" xfId="470"/>
    <cellStyle name="60% - Ênfase1 2" xfId="471"/>
    <cellStyle name="60% - Ênfase1 2 2" xfId="472"/>
    <cellStyle name="60% - Ênfase1 2 3" xfId="473"/>
    <cellStyle name="60% - Ênfase2" xfId="474"/>
    <cellStyle name="60% - Ênfase2 2" xfId="475"/>
    <cellStyle name="60% - Ênfase2 2 2" xfId="476"/>
    <cellStyle name="60% - Ênfase2 2 3" xfId="477"/>
    <cellStyle name="60% - Ênfase3" xfId="478"/>
    <cellStyle name="60% - Ênfase3 2" xfId="479"/>
    <cellStyle name="60% - Ênfase3 2 2" xfId="480"/>
    <cellStyle name="60% - Ênfase3 2 3" xfId="481"/>
    <cellStyle name="60% - Ênfase3 3" xfId="482"/>
    <cellStyle name="60% - Ênfase3 4" xfId="483"/>
    <cellStyle name="60% - Ênfase4" xfId="484"/>
    <cellStyle name="60% - Ênfase4 2" xfId="485"/>
    <cellStyle name="60% - Ênfase4 2 2" xfId="486"/>
    <cellStyle name="60% - Ênfase4 2 3" xfId="487"/>
    <cellStyle name="60% - Ênfase4 3" xfId="488"/>
    <cellStyle name="60% - Ênfase4 4" xfId="489"/>
    <cellStyle name="60% - Ênfase5" xfId="490"/>
    <cellStyle name="60% - Ênfase5 2" xfId="491"/>
    <cellStyle name="60% - Ênfase5 2 2" xfId="492"/>
    <cellStyle name="60% - Ênfase5 2 3" xfId="493"/>
    <cellStyle name="60% - Ênfase6" xfId="494"/>
    <cellStyle name="60% - Ênfase6 2" xfId="495"/>
    <cellStyle name="60% - Ênfase6 2 2" xfId="496"/>
    <cellStyle name="60% - Ênfase6 2 3" xfId="497"/>
    <cellStyle name="60% - Ênfase6 3" xfId="498"/>
    <cellStyle name="60% - Ênfase6 4" xfId="499"/>
    <cellStyle name="Accent1" xfId="500"/>
    <cellStyle name="Accent2" xfId="501"/>
    <cellStyle name="Accent3" xfId="502"/>
    <cellStyle name="Accent4" xfId="503"/>
    <cellStyle name="Accent5" xfId="504"/>
    <cellStyle name="Accent6" xfId="505"/>
    <cellStyle name="Bad" xfId="506"/>
    <cellStyle name="Bom" xfId="507"/>
    <cellStyle name="Bom 2" xfId="508"/>
    <cellStyle name="Bom 2 2" xfId="509"/>
    <cellStyle name="Bom 2 3" xfId="510"/>
    <cellStyle name="Calculation" xfId="511"/>
    <cellStyle name="Calculation 2" xfId="512"/>
    <cellStyle name="Cálculo" xfId="513"/>
    <cellStyle name="Cálculo 2" xfId="514"/>
    <cellStyle name="Cálculo 2 2" xfId="515"/>
    <cellStyle name="Cálculo 2 3" xfId="516"/>
    <cellStyle name="Cálculo 3" xfId="517"/>
    <cellStyle name="Cancel 2" xfId="518"/>
    <cellStyle name="Célula de Verificação" xfId="519"/>
    <cellStyle name="Célula de Verificação 2" xfId="520"/>
    <cellStyle name="Célula de Verificação 2 2" xfId="521"/>
    <cellStyle name="Célula de Verificação 2 3" xfId="522"/>
    <cellStyle name="Célula Vinculada" xfId="523"/>
    <cellStyle name="Célula Vinculada 2" xfId="524"/>
    <cellStyle name="Célula Vinculada 2 2" xfId="525"/>
    <cellStyle name="Célula Vinculada 2 3" xfId="526"/>
    <cellStyle name="Check Cell" xfId="527"/>
    <cellStyle name="Comma 2" xfId="528"/>
    <cellStyle name="Comma 2 2" xfId="529"/>
    <cellStyle name="Comma 2 2 2" xfId="530"/>
    <cellStyle name="Comma 2 2 2 2" xfId="531"/>
    <cellStyle name="Comma 2 2 2 2 2" xfId="532"/>
    <cellStyle name="Comma 2 2 2 2 2 2" xfId="533"/>
    <cellStyle name="Comma 2 2 2 2 2 2 2" xfId="534"/>
    <cellStyle name="Comma 2 2 2 2 2 3" xfId="535"/>
    <cellStyle name="Comma 2 2 2 2 2 3 2" xfId="536"/>
    <cellStyle name="Comma 2 2 2 2 2 4" xfId="537"/>
    <cellStyle name="Comma 2 2 2 2 2 5" xfId="538"/>
    <cellStyle name="Comma 2 2 2 2 3" xfId="539"/>
    <cellStyle name="Comma 2 2 2 2 3 2" xfId="540"/>
    <cellStyle name="Comma 2 2 2 2 3 2 2" xfId="541"/>
    <cellStyle name="Comma 2 2 2 2 3 3" xfId="542"/>
    <cellStyle name="Comma 2 2 2 2 3 3 2" xfId="543"/>
    <cellStyle name="Comma 2 2 2 2 3 4" xfId="544"/>
    <cellStyle name="Comma 2 2 2 2 3 5" xfId="545"/>
    <cellStyle name="Comma 2 2 2 2 4" xfId="546"/>
    <cellStyle name="Comma 2 2 2 2 4 2" xfId="547"/>
    <cellStyle name="Comma 2 2 2 2 5" xfId="548"/>
    <cellStyle name="Comma 2 2 2 2 5 2" xfId="549"/>
    <cellStyle name="Comma 2 2 2 2 6" xfId="550"/>
    <cellStyle name="Comma 2 2 2 2 7" xfId="551"/>
    <cellStyle name="Comma 2 2 2 3" xfId="552"/>
    <cellStyle name="Comma 2 2 2 3 2" xfId="553"/>
    <cellStyle name="Comma 2 2 2 3 2 2" xfId="554"/>
    <cellStyle name="Comma 2 2 2 3 3" xfId="555"/>
    <cellStyle name="Comma 2 2 2 3 3 2" xfId="556"/>
    <cellStyle name="Comma 2 2 2 3 4" xfId="557"/>
    <cellStyle name="Comma 2 2 2 3 5" xfId="558"/>
    <cellStyle name="Comma 2 2 2 4" xfId="559"/>
    <cellStyle name="Comma 2 2 2 4 2" xfId="560"/>
    <cellStyle name="Comma 2 2 2 4 2 2" xfId="561"/>
    <cellStyle name="Comma 2 2 2 4 3" xfId="562"/>
    <cellStyle name="Comma 2 2 2 4 3 2" xfId="563"/>
    <cellStyle name="Comma 2 2 2 4 4" xfId="564"/>
    <cellStyle name="Comma 2 2 2 4 5" xfId="565"/>
    <cellStyle name="Comma 2 2 2 5" xfId="566"/>
    <cellStyle name="Comma 2 2 2 5 2" xfId="567"/>
    <cellStyle name="Comma 2 2 2 6" xfId="568"/>
    <cellStyle name="Comma 2 2 2 6 2" xfId="569"/>
    <cellStyle name="Comma 2 2 2 7" xfId="570"/>
    <cellStyle name="Comma 2 2 2 8" xfId="571"/>
    <cellStyle name="Comma 2 2 3" xfId="572"/>
    <cellStyle name="Comma 2 2 3 2" xfId="573"/>
    <cellStyle name="Comma 2 2 3 2 2" xfId="574"/>
    <cellStyle name="Comma 2 2 3 2 2 2" xfId="575"/>
    <cellStyle name="Comma 2 2 3 2 3" xfId="576"/>
    <cellStyle name="Comma 2 2 3 2 3 2" xfId="577"/>
    <cellStyle name="Comma 2 2 3 2 4" xfId="578"/>
    <cellStyle name="Comma 2 2 3 2 5" xfId="579"/>
    <cellStyle name="Comma 2 2 3 3" xfId="580"/>
    <cellStyle name="Comma 2 2 3 3 2" xfId="581"/>
    <cellStyle name="Comma 2 2 3 3 2 2" xfId="582"/>
    <cellStyle name="Comma 2 2 3 3 3" xfId="583"/>
    <cellStyle name="Comma 2 2 3 3 3 2" xfId="584"/>
    <cellStyle name="Comma 2 2 3 3 4" xfId="585"/>
    <cellStyle name="Comma 2 2 3 3 5" xfId="586"/>
    <cellStyle name="Comma 2 2 3 4" xfId="587"/>
    <cellStyle name="Comma 2 2 3 4 2" xfId="588"/>
    <cellStyle name="Comma 2 2 3 5" xfId="589"/>
    <cellStyle name="Comma 2 2 3 5 2" xfId="590"/>
    <cellStyle name="Comma 2 2 3 6" xfId="591"/>
    <cellStyle name="Comma 2 2 3 7" xfId="592"/>
    <cellStyle name="Comma 2 2 4" xfId="593"/>
    <cellStyle name="Comma 2 2 4 2" xfId="594"/>
    <cellStyle name="Comma 2 2 4 2 2" xfId="595"/>
    <cellStyle name="Comma 2 2 4 3" xfId="596"/>
    <cellStyle name="Comma 2 2 4 3 2" xfId="597"/>
    <cellStyle name="Comma 2 2 4 4" xfId="598"/>
    <cellStyle name="Comma 2 2 4 5" xfId="599"/>
    <cellStyle name="Comma 2 2 5" xfId="600"/>
    <cellStyle name="Comma 2 2 5 2" xfId="601"/>
    <cellStyle name="Comma 2 2 5 2 2" xfId="602"/>
    <cellStyle name="Comma 2 2 5 3" xfId="603"/>
    <cellStyle name="Comma 2 2 5 3 2" xfId="604"/>
    <cellStyle name="Comma 2 2 5 4" xfId="605"/>
    <cellStyle name="Comma 2 2 5 5" xfId="606"/>
    <cellStyle name="Comma 2 2 6" xfId="607"/>
    <cellStyle name="Comma 2 2 6 2" xfId="608"/>
    <cellStyle name="Comma 2 2 7" xfId="609"/>
    <cellStyle name="Comma 2 2 7 2" xfId="610"/>
    <cellStyle name="Comma 2 2 8" xfId="611"/>
    <cellStyle name="Comma 2 2 9" xfId="612"/>
    <cellStyle name="Comma 2 3" xfId="613"/>
    <cellStyle name="Comma 2 3 2" xfId="614"/>
    <cellStyle name="Comma 2 3 3" xfId="615"/>
    <cellStyle name="Comma 2 4" xfId="616"/>
    <cellStyle name="Comma 2 4 2" xfId="617"/>
    <cellStyle name="Comma 2 5" xfId="618"/>
    <cellStyle name="Comma0" xfId="619"/>
    <cellStyle name="Currency 2" xfId="620"/>
    <cellStyle name="Currency0" xfId="621"/>
    <cellStyle name="Date" xfId="622"/>
    <cellStyle name="Ênfase1" xfId="623"/>
    <cellStyle name="Ênfase1 2" xfId="624"/>
    <cellStyle name="Ênfase1 2 2" xfId="625"/>
    <cellStyle name="Ênfase1 2 3" xfId="626"/>
    <cellStyle name="Ênfase2" xfId="627"/>
    <cellStyle name="Ênfase2 2" xfId="628"/>
    <cellStyle name="Ênfase2 2 2" xfId="629"/>
    <cellStyle name="Ênfase2 2 3" xfId="630"/>
    <cellStyle name="Ênfase3" xfId="631"/>
    <cellStyle name="Ênfase3 2" xfId="632"/>
    <cellStyle name="Ênfase3 2 2" xfId="633"/>
    <cellStyle name="Ênfase3 2 3" xfId="634"/>
    <cellStyle name="Ênfase4" xfId="635"/>
    <cellStyle name="Ênfase4 2" xfId="636"/>
    <cellStyle name="Ênfase4 2 2" xfId="637"/>
    <cellStyle name="Ênfase4 2 3" xfId="638"/>
    <cellStyle name="Ênfase5" xfId="639"/>
    <cellStyle name="Ênfase5 2" xfId="640"/>
    <cellStyle name="Ênfase5 2 2" xfId="641"/>
    <cellStyle name="Ênfase5 2 3" xfId="642"/>
    <cellStyle name="Ênfase6" xfId="643"/>
    <cellStyle name="Ênfase6 2" xfId="644"/>
    <cellStyle name="Ênfase6 2 2" xfId="645"/>
    <cellStyle name="Ênfase6 2 3" xfId="646"/>
    <cellStyle name="Entrada" xfId="647"/>
    <cellStyle name="Entrada 2" xfId="648"/>
    <cellStyle name="Entrada 2 2" xfId="649"/>
    <cellStyle name="Entrada 2 3" xfId="650"/>
    <cellStyle name="Entrada 3" xfId="651"/>
    <cellStyle name="Excel Built-in Normal" xfId="652"/>
    <cellStyle name="Excel Built-in Normal 2" xfId="653"/>
    <cellStyle name="Excel Built-in Normal 2 2" xfId="654"/>
    <cellStyle name="Excel Built-in Normal 2 3" xfId="655"/>
    <cellStyle name="Excel Built-in Normal 3" xfId="656"/>
    <cellStyle name="Excel Built-in Normal 4" xfId="657"/>
    <cellStyle name="Excel Built-in Normal 4 2" xfId="658"/>
    <cellStyle name="Excel Built-in Normal 5" xfId="659"/>
    <cellStyle name="Explanatory Text" xfId="660"/>
    <cellStyle name="Fixed" xfId="661"/>
    <cellStyle name="Good" xfId="662"/>
    <cellStyle name="Heading 1" xfId="663"/>
    <cellStyle name="Heading 1 2" xfId="664"/>
    <cellStyle name="Heading 2" xfId="665"/>
    <cellStyle name="Heading 2 2" xfId="666"/>
    <cellStyle name="Heading 3" xfId="667"/>
    <cellStyle name="Heading 4" xfId="668"/>
    <cellStyle name="Hyperlink" xfId="669"/>
    <cellStyle name="Hiperlink 2" xfId="670"/>
    <cellStyle name="Hiperlink 2 2" xfId="671"/>
    <cellStyle name="Hiperlink 3" xfId="672"/>
    <cellStyle name="Hiperlink 3 2" xfId="673"/>
    <cellStyle name="Hiperlink 4" xfId="674"/>
    <cellStyle name="Hiperlink 5" xfId="675"/>
    <cellStyle name="Hiperlink 6" xfId="676"/>
    <cellStyle name="Incorreto" xfId="677"/>
    <cellStyle name="Incorreto 2" xfId="678"/>
    <cellStyle name="Incorreto 2 2" xfId="679"/>
    <cellStyle name="Incorreto 2 3" xfId="680"/>
    <cellStyle name="Input" xfId="681"/>
    <cellStyle name="Input 2" xfId="682"/>
    <cellStyle name="Linked Cell" xfId="683"/>
    <cellStyle name="Currency" xfId="684"/>
    <cellStyle name="Currency [0]" xfId="685"/>
    <cellStyle name="Moeda 10" xfId="686"/>
    <cellStyle name="Moeda 10 2" xfId="687"/>
    <cellStyle name="Moeda 11" xfId="688"/>
    <cellStyle name="Moeda 12" xfId="689"/>
    <cellStyle name="Moeda 13" xfId="690"/>
    <cellStyle name="Moeda 2" xfId="691"/>
    <cellStyle name="Moeda 2 2" xfId="692"/>
    <cellStyle name="Moeda 2 3" xfId="693"/>
    <cellStyle name="Moeda 2 4" xfId="694"/>
    <cellStyle name="Moeda 2 4 2" xfId="695"/>
    <cellStyle name="Moeda 3" xfId="696"/>
    <cellStyle name="Moeda 3 10" xfId="697"/>
    <cellStyle name="Moeda 3 11" xfId="698"/>
    <cellStyle name="Moeda 3 2" xfId="699"/>
    <cellStyle name="Moeda 3 3" xfId="700"/>
    <cellStyle name="Moeda 3 3 2" xfId="701"/>
    <cellStyle name="Moeda 3 3 2 2" xfId="702"/>
    <cellStyle name="Moeda 3 3 2 2 2" xfId="703"/>
    <cellStyle name="Moeda 3 3 2 2 2 2" xfId="704"/>
    <cellStyle name="Moeda 3 3 2 2 3" xfId="705"/>
    <cellStyle name="Moeda 3 3 2 2 3 2" xfId="706"/>
    <cellStyle name="Moeda 3 3 2 2 4" xfId="707"/>
    <cellStyle name="Moeda 3 3 2 2 5" xfId="708"/>
    <cellStyle name="Moeda 3 3 2 3" xfId="709"/>
    <cellStyle name="Moeda 3 3 2 3 2" xfId="710"/>
    <cellStyle name="Moeda 3 3 2 4" xfId="711"/>
    <cellStyle name="Moeda 3 3 2 4 2" xfId="712"/>
    <cellStyle name="Moeda 3 3 2 5" xfId="713"/>
    <cellStyle name="Moeda 3 3 2 6" xfId="714"/>
    <cellStyle name="Moeda 3 3 3" xfId="715"/>
    <cellStyle name="Moeda 3 3 3 2" xfId="716"/>
    <cellStyle name="Moeda 3 3 3 2 2" xfId="717"/>
    <cellStyle name="Moeda 3 3 3 2 2 2" xfId="718"/>
    <cellStyle name="Moeda 3 3 3 2 3" xfId="719"/>
    <cellStyle name="Moeda 3 3 3 2 3 2" xfId="720"/>
    <cellStyle name="Moeda 3 3 3 2 4" xfId="721"/>
    <cellStyle name="Moeda 3 3 3 2 5" xfId="722"/>
    <cellStyle name="Moeda 3 3 3 3" xfId="723"/>
    <cellStyle name="Moeda 3 3 3 3 2" xfId="724"/>
    <cellStyle name="Moeda 3 3 3 4" xfId="725"/>
    <cellStyle name="Moeda 3 3 3 4 2" xfId="726"/>
    <cellStyle name="Moeda 3 3 3 5" xfId="727"/>
    <cellStyle name="Moeda 3 3 3 6" xfId="728"/>
    <cellStyle name="Moeda 3 3 4" xfId="729"/>
    <cellStyle name="Moeda 3 3 4 2" xfId="730"/>
    <cellStyle name="Moeda 3 3 4 2 2" xfId="731"/>
    <cellStyle name="Moeda 3 3 4 3" xfId="732"/>
    <cellStyle name="Moeda 3 3 4 3 2" xfId="733"/>
    <cellStyle name="Moeda 3 3 4 4" xfId="734"/>
    <cellStyle name="Moeda 3 3 4 5" xfId="735"/>
    <cellStyle name="Moeda 3 3 5" xfId="736"/>
    <cellStyle name="Moeda 3 3 5 2" xfId="737"/>
    <cellStyle name="Moeda 3 3 6" xfId="738"/>
    <cellStyle name="Moeda 3 3 6 2" xfId="739"/>
    <cellStyle name="Moeda 3 3 7" xfId="740"/>
    <cellStyle name="Moeda 3 3 8" xfId="741"/>
    <cellStyle name="Moeda 3 4" xfId="742"/>
    <cellStyle name="Moeda 3 4 2" xfId="743"/>
    <cellStyle name="Moeda 3 4 2 2" xfId="744"/>
    <cellStyle name="Moeda 3 4 2 2 2" xfId="745"/>
    <cellStyle name="Moeda 3 4 2 3" xfId="746"/>
    <cellStyle name="Moeda 3 4 2 3 2" xfId="747"/>
    <cellStyle name="Moeda 3 4 2 4" xfId="748"/>
    <cellStyle name="Moeda 3 4 2 5" xfId="749"/>
    <cellStyle name="Moeda 3 4 3" xfId="750"/>
    <cellStyle name="Moeda 3 4 3 2" xfId="751"/>
    <cellStyle name="Moeda 3 4 4" xfId="752"/>
    <cellStyle name="Moeda 3 4 4 2" xfId="753"/>
    <cellStyle name="Moeda 3 4 5" xfId="754"/>
    <cellStyle name="Moeda 3 4 6" xfId="755"/>
    <cellStyle name="Moeda 3 5" xfId="756"/>
    <cellStyle name="Moeda 3 5 2" xfId="757"/>
    <cellStyle name="Moeda 3 5 2 2" xfId="758"/>
    <cellStyle name="Moeda 3 5 2 2 2" xfId="759"/>
    <cellStyle name="Moeda 3 5 2 3" xfId="760"/>
    <cellStyle name="Moeda 3 5 2 3 2" xfId="761"/>
    <cellStyle name="Moeda 3 5 2 4" xfId="762"/>
    <cellStyle name="Moeda 3 5 2 5" xfId="763"/>
    <cellStyle name="Moeda 3 5 3" xfId="764"/>
    <cellStyle name="Moeda 3 5 3 2" xfId="765"/>
    <cellStyle name="Moeda 3 5 4" xfId="766"/>
    <cellStyle name="Moeda 3 5 4 2" xfId="767"/>
    <cellStyle name="Moeda 3 5 5" xfId="768"/>
    <cellStyle name="Moeda 3 5 6" xfId="769"/>
    <cellStyle name="Moeda 3 6" xfId="770"/>
    <cellStyle name="Moeda 3 6 2" xfId="771"/>
    <cellStyle name="Moeda 3 6 2 2" xfId="772"/>
    <cellStyle name="Moeda 3 6 3" xfId="773"/>
    <cellStyle name="Moeda 3 6 3 2" xfId="774"/>
    <cellStyle name="Moeda 3 6 4" xfId="775"/>
    <cellStyle name="Moeda 3 6 5" xfId="776"/>
    <cellStyle name="Moeda 3 7" xfId="777"/>
    <cellStyle name="Moeda 3 7 2" xfId="778"/>
    <cellStyle name="Moeda 3 7 3" xfId="779"/>
    <cellStyle name="Moeda 3 8" xfId="780"/>
    <cellStyle name="Moeda 3 8 2" xfId="781"/>
    <cellStyle name="Moeda 3 9" xfId="782"/>
    <cellStyle name="Moeda 4" xfId="783"/>
    <cellStyle name="Moeda 4 2" xfId="784"/>
    <cellStyle name="Moeda 4 2 2" xfId="785"/>
    <cellStyle name="Moeda 4 3" xfId="786"/>
    <cellStyle name="Moeda 4 3 2" xfId="787"/>
    <cellStyle name="Moeda 4 3 2 2" xfId="788"/>
    <cellStyle name="Moeda 4 3 3" xfId="789"/>
    <cellStyle name="Moeda 4 3 3 2" xfId="790"/>
    <cellStyle name="Moeda 4 3 4" xfId="791"/>
    <cellStyle name="Moeda 4 3 5" xfId="792"/>
    <cellStyle name="Moeda 5" xfId="793"/>
    <cellStyle name="Moeda 6" xfId="794"/>
    <cellStyle name="Moeda 6 2" xfId="795"/>
    <cellStyle name="Moeda 6 2 2" xfId="796"/>
    <cellStyle name="Moeda 6 2 2 2" xfId="797"/>
    <cellStyle name="Moeda 6 2 3" xfId="798"/>
    <cellStyle name="Moeda 6 2 3 2" xfId="799"/>
    <cellStyle name="Moeda 6 2 4" xfId="800"/>
    <cellStyle name="Moeda 6 2 5" xfId="801"/>
    <cellStyle name="Moeda 6 3" xfId="802"/>
    <cellStyle name="Moeda 6 3 2" xfId="803"/>
    <cellStyle name="Moeda 6 4" xfId="804"/>
    <cellStyle name="Moeda 6 4 2" xfId="805"/>
    <cellStyle name="Moeda 6 5" xfId="806"/>
    <cellStyle name="Moeda 6 6" xfId="807"/>
    <cellStyle name="Moeda 7" xfId="808"/>
    <cellStyle name="Moeda 7 2" xfId="809"/>
    <cellStyle name="Moeda 7 2 2" xfId="810"/>
    <cellStyle name="Moeda 7 3" xfId="811"/>
    <cellStyle name="Moeda 7 3 2" xfId="812"/>
    <cellStyle name="Moeda 7 4" xfId="813"/>
    <cellStyle name="Moeda 7 5" xfId="814"/>
    <cellStyle name="Moeda 8" xfId="815"/>
    <cellStyle name="Moeda 8 2" xfId="816"/>
    <cellStyle name="Moeda 8 2 2" xfId="817"/>
    <cellStyle name="Moeda 8 3" xfId="818"/>
    <cellStyle name="Moeda 8 3 2" xfId="819"/>
    <cellStyle name="Moeda 8 4" xfId="820"/>
    <cellStyle name="Moeda 8 5" xfId="821"/>
    <cellStyle name="Moeda 9" xfId="822"/>
    <cellStyle name="Moeda 9 2" xfId="823"/>
    <cellStyle name="Neutra" xfId="824"/>
    <cellStyle name="Neutra 2" xfId="825"/>
    <cellStyle name="Neutra 2 2" xfId="826"/>
    <cellStyle name="Neutra 2 3" xfId="827"/>
    <cellStyle name="Neutral" xfId="828"/>
    <cellStyle name="Normal 10" xfId="829"/>
    <cellStyle name="Normal 10 2" xfId="830"/>
    <cellStyle name="Normal 11" xfId="831"/>
    <cellStyle name="Normal 11 2" xfId="832"/>
    <cellStyle name="Normal 11 3" xfId="833"/>
    <cellStyle name="Normal 12" xfId="834"/>
    <cellStyle name="Normal 12 2" xfId="835"/>
    <cellStyle name="Normal 12 3" xfId="836"/>
    <cellStyle name="Normal 12 4" xfId="837"/>
    <cellStyle name="Normal 13" xfId="838"/>
    <cellStyle name="Normal 14" xfId="839"/>
    <cellStyle name="Normal 14 2" xfId="840"/>
    <cellStyle name="Normal 14 3" xfId="841"/>
    <cellStyle name="Normal 14 4" xfId="842"/>
    <cellStyle name="Normal 14 5" xfId="843"/>
    <cellStyle name="Normal 15" xfId="844"/>
    <cellStyle name="Normal 15 2" xfId="845"/>
    <cellStyle name="Normal 15 3" xfId="846"/>
    <cellStyle name="Normal 15 4" xfId="847"/>
    <cellStyle name="Normal 16" xfId="848"/>
    <cellStyle name="Normal 17" xfId="849"/>
    <cellStyle name="Normal 18" xfId="850"/>
    <cellStyle name="Normal 19" xfId="851"/>
    <cellStyle name="Normal 19 10" xfId="852"/>
    <cellStyle name="Normal 19 10 2" xfId="853"/>
    <cellStyle name="Normal 19 2" xfId="854"/>
    <cellStyle name="Normal 2" xfId="855"/>
    <cellStyle name="Normal 2 2" xfId="856"/>
    <cellStyle name="Normal 2 2 2" xfId="857"/>
    <cellStyle name="Normal 2 2 2 2" xfId="858"/>
    <cellStyle name="Normal 2 2 2 2 2" xfId="859"/>
    <cellStyle name="Normal 2 2 2 2 2 2" xfId="860"/>
    <cellStyle name="Normal 2 2 2 2 2 2 2" xfId="861"/>
    <cellStyle name="Normal 2 2 2 2 2 3" xfId="862"/>
    <cellStyle name="Normal 2 2 2 2 2 3 2" xfId="863"/>
    <cellStyle name="Normal 2 2 2 2 2 4" xfId="864"/>
    <cellStyle name="Normal 2 2 2 2 2_Anexo III - PLO ATA RJ 21_10_15" xfId="865"/>
    <cellStyle name="Normal 2 2 2 2 3" xfId="866"/>
    <cellStyle name="Normal 2 2 2 2 3 2" xfId="867"/>
    <cellStyle name="Normal 2 2 2 2 4" xfId="868"/>
    <cellStyle name="Normal 2 2 2 2 4 2" xfId="869"/>
    <cellStyle name="Normal 2 2 2 2 5" xfId="870"/>
    <cellStyle name="Normal 2 2 2 2_Anexo III - PLO ATA RJ 21_10_15" xfId="871"/>
    <cellStyle name="Normal 2 2 2 3" xfId="872"/>
    <cellStyle name="Normal 2 2 2 3 2" xfId="873"/>
    <cellStyle name="Normal 2 2 2 3 2 2" xfId="874"/>
    <cellStyle name="Normal 2 2 2 3 3" xfId="875"/>
    <cellStyle name="Normal 2 2 2 3 3 2" xfId="876"/>
    <cellStyle name="Normal 2 2 2 3 4" xfId="877"/>
    <cellStyle name="Normal 2 2 2 3_Anexo III - PLO ATA RJ 21_10_15" xfId="878"/>
    <cellStyle name="Normal 2 2 2 4" xfId="879"/>
    <cellStyle name="Normal 2 2 2 4 2" xfId="880"/>
    <cellStyle name="Normal 2 2 2 5" xfId="881"/>
    <cellStyle name="Normal 2 2 2 5 2" xfId="882"/>
    <cellStyle name="Normal 2 2 2 6" xfId="883"/>
    <cellStyle name="Normal 2 2 2 6 2" xfId="884"/>
    <cellStyle name="Normal 2 2 2 7" xfId="885"/>
    <cellStyle name="Normal 2 2 2_Anexo III - PLO ATA RJ 21_10_15" xfId="886"/>
    <cellStyle name="Normal 2 2 3" xfId="887"/>
    <cellStyle name="Normal 2 3" xfId="888"/>
    <cellStyle name="Normal 2 4" xfId="889"/>
    <cellStyle name="Normal 2 4 2" xfId="890"/>
    <cellStyle name="Normal 2 4 3" xfId="891"/>
    <cellStyle name="Normal 2 5" xfId="892"/>
    <cellStyle name="Normal 2 6" xfId="893"/>
    <cellStyle name="Normal 2 7" xfId="894"/>
    <cellStyle name="Normal 2_Anexo III - PLO ATA RJ 21_10_15" xfId="895"/>
    <cellStyle name="Normal 3" xfId="896"/>
    <cellStyle name="Normal 3 2" xfId="897"/>
    <cellStyle name="Normal 3 2 2" xfId="898"/>
    <cellStyle name="Normal 3 2 2 2" xfId="899"/>
    <cellStyle name="Normal 3 2 2 2 2" xfId="900"/>
    <cellStyle name="Normal 3 2 3" xfId="901"/>
    <cellStyle name="Normal 3 2 4" xfId="902"/>
    <cellStyle name="Normal 3_APENDICE G PLANILHA_COMPOSICAO_CUSTOS_FACILITIES_TOTAL" xfId="903"/>
    <cellStyle name="Normal 37" xfId="904"/>
    <cellStyle name="Normal 37 2" xfId="905"/>
    <cellStyle name="Normal 38" xfId="906"/>
    <cellStyle name="Normal 38 10" xfId="907"/>
    <cellStyle name="Normal 38 2" xfId="908"/>
    <cellStyle name="Normal 4" xfId="909"/>
    <cellStyle name="Normal 4 2" xfId="910"/>
    <cellStyle name="Normal 45 2" xfId="911"/>
    <cellStyle name="Normal 46 2" xfId="912"/>
    <cellStyle name="Normal 5" xfId="913"/>
    <cellStyle name="Normal 5 2" xfId="914"/>
    <cellStyle name="Normal 5 2 2" xfId="915"/>
    <cellStyle name="Normal 5 3" xfId="916"/>
    <cellStyle name="Normal 53" xfId="917"/>
    <cellStyle name="Normal 6" xfId="918"/>
    <cellStyle name="Normal 6 2" xfId="919"/>
    <cellStyle name="Normal 6 3" xfId="920"/>
    <cellStyle name="Normal 6 4" xfId="921"/>
    <cellStyle name="Normal 7" xfId="922"/>
    <cellStyle name="Normal 7 2" xfId="923"/>
    <cellStyle name="Normal 7 2 2" xfId="924"/>
    <cellStyle name="Normal 7 2 2 2" xfId="925"/>
    <cellStyle name="Normal 7 2 2 2 2" xfId="926"/>
    <cellStyle name="Normal 7 2 2 3" xfId="927"/>
    <cellStyle name="Normal 7 2 2 3 2" xfId="928"/>
    <cellStyle name="Normal 7 2 2 4" xfId="929"/>
    <cellStyle name="Normal 7 2 2 5" xfId="930"/>
    <cellStyle name="Normal 7 2 2_Anexo III - PLO ATA RJ 21_10_15" xfId="931"/>
    <cellStyle name="Normal 7 2 3" xfId="932"/>
    <cellStyle name="Normal 7 2 3 2" xfId="933"/>
    <cellStyle name="Normal 7 2 4" xfId="934"/>
    <cellStyle name="Normal 7 2 4 2" xfId="935"/>
    <cellStyle name="Normal 7 2 5" xfId="936"/>
    <cellStyle name="Normal 7 2 6" xfId="937"/>
    <cellStyle name="Normal 7 2_Anexo III - PLO ATA RJ 21_10_15" xfId="938"/>
    <cellStyle name="Normal 7 3" xfId="939"/>
    <cellStyle name="Normal 7 3 2" xfId="940"/>
    <cellStyle name="Normal 7 3 2 2" xfId="941"/>
    <cellStyle name="Normal 7 3 3" xfId="942"/>
    <cellStyle name="Normal 7 3 3 2" xfId="943"/>
    <cellStyle name="Normal 7 3 4" xfId="944"/>
    <cellStyle name="Normal 7 3 5" xfId="945"/>
    <cellStyle name="Normal 7 3_Anexo III - PLO ATA RJ 21_10_15" xfId="946"/>
    <cellStyle name="Normal 7 4" xfId="947"/>
    <cellStyle name="Normal 7 4 2" xfId="948"/>
    <cellStyle name="Normal 7 5" xfId="949"/>
    <cellStyle name="Normal 7 5 2" xfId="950"/>
    <cellStyle name="Normal 7 6" xfId="951"/>
    <cellStyle name="Normal 7 6 2" xfId="952"/>
    <cellStyle name="Normal 7 7" xfId="953"/>
    <cellStyle name="Normal 7 8" xfId="954"/>
    <cellStyle name="Normal 7_Anexo III - PLO ATA RJ 21_10_15" xfId="955"/>
    <cellStyle name="Normal 7_Pasta2 2" xfId="956"/>
    <cellStyle name="Normal 8" xfId="957"/>
    <cellStyle name="Normal 8 2" xfId="958"/>
    <cellStyle name="Normal 8 3" xfId="959"/>
    <cellStyle name="Normal 9" xfId="960"/>
    <cellStyle name="Normal 9 2" xfId="961"/>
    <cellStyle name="Normal 9 3" xfId="962"/>
    <cellStyle name="Nota" xfId="963"/>
    <cellStyle name="Nota 2" xfId="964"/>
    <cellStyle name="Nota 2 2" xfId="965"/>
    <cellStyle name="Nota 2 2 2" xfId="966"/>
    <cellStyle name="Nota 2 3" xfId="967"/>
    <cellStyle name="Nota 2 3 2" xfId="968"/>
    <cellStyle name="Nota 2 4" xfId="969"/>
    <cellStyle name="Nota 2_APENDICE G PLANILHA_COMPOSICAO_CUSTOS_FACILITIES_TOTAL" xfId="970"/>
    <cellStyle name="Nota 3" xfId="971"/>
    <cellStyle name="Nota 3 2" xfId="972"/>
    <cellStyle name="Nota 4" xfId="973"/>
    <cellStyle name="Nota 4 2" xfId="974"/>
    <cellStyle name="Nota 5" xfId="975"/>
    <cellStyle name="Nota 5 2" xfId="976"/>
    <cellStyle name="Nota 6" xfId="977"/>
    <cellStyle name="Nota 7" xfId="978"/>
    <cellStyle name="Note" xfId="979"/>
    <cellStyle name="Note 2" xfId="980"/>
    <cellStyle name="Note 2 2" xfId="981"/>
    <cellStyle name="Note 2 2 2" xfId="982"/>
    <cellStyle name="Note 2 3" xfId="983"/>
    <cellStyle name="Note 2 3 2" xfId="984"/>
    <cellStyle name="Note 2 3 2 2" xfId="985"/>
    <cellStyle name="Note 2 3 3" xfId="986"/>
    <cellStyle name="Note 2 4" xfId="987"/>
    <cellStyle name="Note 3" xfId="988"/>
    <cellStyle name="Note 3 2" xfId="989"/>
    <cellStyle name="Note 4" xfId="990"/>
    <cellStyle name="Note 4 2" xfId="991"/>
    <cellStyle name="Note 4 2 2" xfId="992"/>
    <cellStyle name="Note 4 3" xfId="993"/>
    <cellStyle name="Note 5" xfId="994"/>
    <cellStyle name="Note 5 2" xfId="995"/>
    <cellStyle name="Note 6" xfId="996"/>
    <cellStyle name="Output" xfId="997"/>
    <cellStyle name="Output 2" xfId="998"/>
    <cellStyle name="Percent" xfId="999"/>
    <cellStyle name="Porcentagem 10" xfId="1000"/>
    <cellStyle name="Porcentagem 10 2" xfId="1001"/>
    <cellStyle name="Porcentagem 10 3" xfId="1002"/>
    <cellStyle name="Porcentagem 11" xfId="1003"/>
    <cellStyle name="Porcentagem 11 2" xfId="1004"/>
    <cellStyle name="Porcentagem 2" xfId="1005"/>
    <cellStyle name="Porcentagem 2 2" xfId="1006"/>
    <cellStyle name="Porcentagem 2 2 2" xfId="1007"/>
    <cellStyle name="Porcentagem 2 3" xfId="1008"/>
    <cellStyle name="Porcentagem 2 3 2" xfId="1009"/>
    <cellStyle name="Porcentagem 3" xfId="1010"/>
    <cellStyle name="Porcentagem 3 2" xfId="1011"/>
    <cellStyle name="Porcentagem 3 2 2" xfId="1012"/>
    <cellStyle name="Porcentagem 3 3" xfId="1013"/>
    <cellStyle name="Porcentagem 3 4" xfId="1014"/>
    <cellStyle name="Porcentagem 3 5" xfId="1015"/>
    <cellStyle name="Porcentagem 4" xfId="1016"/>
    <cellStyle name="Porcentagem 4 2" xfId="1017"/>
    <cellStyle name="Porcentagem 5" xfId="1018"/>
    <cellStyle name="Porcentagem 5 2" xfId="1019"/>
    <cellStyle name="Porcentagem 6" xfId="1020"/>
    <cellStyle name="Porcentagem 6 2" xfId="1021"/>
    <cellStyle name="Porcentagem 6 3" xfId="1022"/>
    <cellStyle name="Porcentagem 7" xfId="1023"/>
    <cellStyle name="Porcentagem 8" xfId="1024"/>
    <cellStyle name="Porcentagem 8 2" xfId="1025"/>
    <cellStyle name="Porcentagem 8 3" xfId="1026"/>
    <cellStyle name="Porcentagem 9" xfId="1027"/>
    <cellStyle name="Porcentagem 9 2" xfId="1028"/>
    <cellStyle name="Saída" xfId="1029"/>
    <cellStyle name="Saída 2" xfId="1030"/>
    <cellStyle name="Saída 2 2" xfId="1031"/>
    <cellStyle name="Saída 2 3" xfId="1032"/>
    <cellStyle name="Saída 3" xfId="1033"/>
    <cellStyle name="Comma [0]" xfId="1034"/>
    <cellStyle name="Separador de milhares 12" xfId="1035"/>
    <cellStyle name="Separador de milhares 12 2" xfId="1036"/>
    <cellStyle name="Separador de milhares 12 2 10" xfId="1037"/>
    <cellStyle name="Separador de milhares 12 2 10 10" xfId="1038"/>
    <cellStyle name="Separador de milhares 12 2 10 2" xfId="1039"/>
    <cellStyle name="Separador de milhares 12 2 10 2 2" xfId="1040"/>
    <cellStyle name="Separador de milhares 12 2 10 2 2 2" xfId="1041"/>
    <cellStyle name="Separador de milhares 12 2 10 2 2 2 2" xfId="1042"/>
    <cellStyle name="Separador de milhares 12 2 10 2 2 2 3" xfId="1043"/>
    <cellStyle name="Separador de milhares 12 2 10 2 2 3" xfId="1044"/>
    <cellStyle name="Separador de milhares 12 2 10 2 2 3 2" xfId="1045"/>
    <cellStyle name="Separador de milhares 12 2 10 2 2 4" xfId="1046"/>
    <cellStyle name="Separador de milhares 12 2 10 2 2 5" xfId="1047"/>
    <cellStyle name="Separador de milhares 12 2 10 2 3" xfId="1048"/>
    <cellStyle name="Separador de milhares 12 2 10 2 3 2" xfId="1049"/>
    <cellStyle name="Separador de milhares 12 2 10 2 3 2 2" xfId="1050"/>
    <cellStyle name="Separador de milhares 12 2 10 2 3 3" xfId="1051"/>
    <cellStyle name="Separador de milhares 12 2 10 2 3 3 2" xfId="1052"/>
    <cellStyle name="Separador de milhares 12 2 10 2 3 4" xfId="1053"/>
    <cellStyle name="Separador de milhares 12 2 10 2 4" xfId="1054"/>
    <cellStyle name="Separador de milhares 12 2 10 2 4 2" xfId="1055"/>
    <cellStyle name="Separador de milhares 12 2 10 2 5" xfId="1056"/>
    <cellStyle name="Separador de milhares 12 2 10 2 5 2" xfId="1057"/>
    <cellStyle name="Separador de milhares 12 2 10 2 6" xfId="1058"/>
    <cellStyle name="Separador de milhares 12 2 10 2 7" xfId="1059"/>
    <cellStyle name="Separador de milhares 12 2 10 3" xfId="1060"/>
    <cellStyle name="Separador de milhares 12 2 10 3 2" xfId="1061"/>
    <cellStyle name="Separador de milhares 12 2 10 3 2 2" xfId="1062"/>
    <cellStyle name="Separador de milhares 12 2 10 3 3" xfId="1063"/>
    <cellStyle name="Separador de milhares 12 2 10 3 3 2" xfId="1064"/>
    <cellStyle name="Separador de milhares 12 2 10 3 4" xfId="1065"/>
    <cellStyle name="Separador de milhares 12 2 10 4" xfId="1066"/>
    <cellStyle name="Separador de milhares 12 2 10 4 2" xfId="1067"/>
    <cellStyle name="Separador de milhares 12 2 10 4 2 2" xfId="1068"/>
    <cellStyle name="Separador de milhares 12 2 10 4 3" xfId="1069"/>
    <cellStyle name="Separador de milhares 12 2 10 4 3 2" xfId="1070"/>
    <cellStyle name="Separador de milhares 12 2 10 4 4" xfId="1071"/>
    <cellStyle name="Separador de milhares 12 2 10 5" xfId="1072"/>
    <cellStyle name="Separador de milhares 12 2 10 5 2" xfId="1073"/>
    <cellStyle name="Separador de milhares 12 2 10 5 2 2" xfId="1074"/>
    <cellStyle name="Separador de milhares 12 2 10 5 3" xfId="1075"/>
    <cellStyle name="Separador de milhares 12 2 10 5 3 2" xfId="1076"/>
    <cellStyle name="Separador de milhares 12 2 10 5 4" xfId="1077"/>
    <cellStyle name="Separador de milhares 12 2 10 6" xfId="1078"/>
    <cellStyle name="Separador de milhares 12 2 10 6 2" xfId="1079"/>
    <cellStyle name="Separador de milhares 12 2 10 7" xfId="1080"/>
    <cellStyle name="Separador de milhares 12 2 10 7 2" xfId="1081"/>
    <cellStyle name="Separador de milhares 12 2 10 8" xfId="1082"/>
    <cellStyle name="Separador de milhares 12 2 10 9" xfId="1083"/>
    <cellStyle name="Separador de milhares 12 2 11" xfId="1084"/>
    <cellStyle name="Separador de milhares 12 2 11 2" xfId="1085"/>
    <cellStyle name="Separador de milhares 12 2 12" xfId="1086"/>
    <cellStyle name="Separador de milhares 12 2 13" xfId="1087"/>
    <cellStyle name="Separador de milhares 12 2 2" xfId="1088"/>
    <cellStyle name="Separador de milhares 12 2 2 2" xfId="1089"/>
    <cellStyle name="Separador de milhares 12 2 2 2 2" xfId="1090"/>
    <cellStyle name="Separador de milhares 12 2 2 2 2 2" xfId="1091"/>
    <cellStyle name="Separador de milhares 12 2 2 2 2 2 2" xfId="1092"/>
    <cellStyle name="Separador de milhares 12 2 2 2 2 2 2 2" xfId="1093"/>
    <cellStyle name="Separador de milhares 12 2 2 2 2 2 3" xfId="1094"/>
    <cellStyle name="Separador de milhares 12 2 2 2 2 2 3 2" xfId="1095"/>
    <cellStyle name="Separador de milhares 12 2 2 2 2 2 4" xfId="1096"/>
    <cellStyle name="Separador de milhares 12 2 2 2 2 2 5" xfId="1097"/>
    <cellStyle name="Separador de milhares 12 2 2 2 2 3" xfId="1098"/>
    <cellStyle name="Separador de milhares 12 2 2 2 2 3 2" xfId="1099"/>
    <cellStyle name="Separador de milhares 12 2 2 2 2 3 2 2" xfId="1100"/>
    <cellStyle name="Separador de milhares 12 2 2 2 2 3 3" xfId="1101"/>
    <cellStyle name="Separador de milhares 12 2 2 2 2 3 3 2" xfId="1102"/>
    <cellStyle name="Separador de milhares 12 2 2 2 2 3 4" xfId="1103"/>
    <cellStyle name="Separador de milhares 12 2 2 2 2 3 5" xfId="1104"/>
    <cellStyle name="Separador de milhares 12 2 2 2 2 4" xfId="1105"/>
    <cellStyle name="Separador de milhares 12 2 2 2 2 4 2" xfId="1106"/>
    <cellStyle name="Separador de milhares 12 2 2 2 2 5" xfId="1107"/>
    <cellStyle name="Separador de milhares 12 2 2 2 2 5 2" xfId="1108"/>
    <cellStyle name="Separador de milhares 12 2 2 2 2 6" xfId="1109"/>
    <cellStyle name="Separador de milhares 12 2 2 2 2 7" xfId="1110"/>
    <cellStyle name="Separador de milhares 12 2 2 2 3" xfId="1111"/>
    <cellStyle name="Separador de milhares 12 2 2 2 3 2" xfId="1112"/>
    <cellStyle name="Separador de milhares 12 2 2 2 3 2 2" xfId="1113"/>
    <cellStyle name="Separador de milhares 12 2 2 2 3 3" xfId="1114"/>
    <cellStyle name="Separador de milhares 12 2 2 2 3 3 2" xfId="1115"/>
    <cellStyle name="Separador de milhares 12 2 2 2 3 4" xfId="1116"/>
    <cellStyle name="Separador de milhares 12 2 2 2 3 5" xfId="1117"/>
    <cellStyle name="Separador de milhares 12 2 2 2 4" xfId="1118"/>
    <cellStyle name="Separador de milhares 12 2 2 2 4 2" xfId="1119"/>
    <cellStyle name="Separador de milhares 12 2 2 2 4 2 2" xfId="1120"/>
    <cellStyle name="Separador de milhares 12 2 2 2 4 3" xfId="1121"/>
    <cellStyle name="Separador de milhares 12 2 2 2 4 3 2" xfId="1122"/>
    <cellStyle name="Separador de milhares 12 2 2 2 4 4" xfId="1123"/>
    <cellStyle name="Separador de milhares 12 2 2 2 4 5" xfId="1124"/>
    <cellStyle name="Separador de milhares 12 2 2 2 5" xfId="1125"/>
    <cellStyle name="Separador de milhares 12 2 2 2 5 2" xfId="1126"/>
    <cellStyle name="Separador de milhares 12 2 2 2 6" xfId="1127"/>
    <cellStyle name="Separador de milhares 12 2 2 2 6 2" xfId="1128"/>
    <cellStyle name="Separador de milhares 12 2 2 2 7" xfId="1129"/>
    <cellStyle name="Separador de milhares 12 2 2 2 8" xfId="1130"/>
    <cellStyle name="Separador de milhares 12 2 2 3" xfId="1131"/>
    <cellStyle name="Separador de milhares 12 2 2 3 2" xfId="1132"/>
    <cellStyle name="Separador de milhares 12 2 2 3 2 2" xfId="1133"/>
    <cellStyle name="Separador de milhares 12 2 2 3 2 2 2" xfId="1134"/>
    <cellStyle name="Separador de milhares 12 2 2 3 2 3" xfId="1135"/>
    <cellStyle name="Separador de milhares 12 2 2 3 2 3 2" xfId="1136"/>
    <cellStyle name="Separador de milhares 12 2 2 3 2 4" xfId="1137"/>
    <cellStyle name="Separador de milhares 12 2 2 3 2 5" xfId="1138"/>
    <cellStyle name="Separador de milhares 12 2 2 3 3" xfId="1139"/>
    <cellStyle name="Separador de milhares 12 2 2 3 3 2" xfId="1140"/>
    <cellStyle name="Separador de milhares 12 2 2 3 3 2 2" xfId="1141"/>
    <cellStyle name="Separador de milhares 12 2 2 3 3 3" xfId="1142"/>
    <cellStyle name="Separador de milhares 12 2 2 3 3 3 2" xfId="1143"/>
    <cellStyle name="Separador de milhares 12 2 2 3 3 4" xfId="1144"/>
    <cellStyle name="Separador de milhares 12 2 2 3 3 5" xfId="1145"/>
    <cellStyle name="Separador de milhares 12 2 2 3 4" xfId="1146"/>
    <cellStyle name="Separador de milhares 12 2 2 3 4 2" xfId="1147"/>
    <cellStyle name="Separador de milhares 12 2 2 3 5" xfId="1148"/>
    <cellStyle name="Separador de milhares 12 2 2 3 5 2" xfId="1149"/>
    <cellStyle name="Separador de milhares 12 2 2 3 6" xfId="1150"/>
    <cellStyle name="Separador de milhares 12 2 2 3 7" xfId="1151"/>
    <cellStyle name="Separador de milhares 12 2 3" xfId="1152"/>
    <cellStyle name="Separador de milhares 12 2 3 2" xfId="1153"/>
    <cellStyle name="Separador de milhares 12 2 3 2 2" xfId="1154"/>
    <cellStyle name="Separador de milhares 12 2 3 2 2 2" xfId="1155"/>
    <cellStyle name="Separador de milhares 12 2 3 2 3" xfId="1156"/>
    <cellStyle name="Separador de milhares 12 2 3 2 3 2" xfId="1157"/>
    <cellStyle name="Separador de milhares 12 2 3 2 4" xfId="1158"/>
    <cellStyle name="Separador de milhares 12 2 3 2 5" xfId="1159"/>
    <cellStyle name="Separador de milhares 12 2 3 3" xfId="1160"/>
    <cellStyle name="Separador de milhares 12 2 3 3 2" xfId="1161"/>
    <cellStyle name="Separador de milhares 12 2 3 3 2 2" xfId="1162"/>
    <cellStyle name="Separador de milhares 12 2 3 3 3" xfId="1163"/>
    <cellStyle name="Separador de milhares 12 2 3 3 3 2" xfId="1164"/>
    <cellStyle name="Separador de milhares 12 2 3 3 4" xfId="1165"/>
    <cellStyle name="Separador de milhares 12 2 3 3 5" xfId="1166"/>
    <cellStyle name="Separador de milhares 12 2 3 4" xfId="1167"/>
    <cellStyle name="Separador de milhares 12 2 3 4 2" xfId="1168"/>
    <cellStyle name="Separador de milhares 12 2 3 5" xfId="1169"/>
    <cellStyle name="Separador de milhares 12 2 3 5 2" xfId="1170"/>
    <cellStyle name="Separador de milhares 12 2 3 6" xfId="1171"/>
    <cellStyle name="Separador de milhares 12 2 3 7" xfId="1172"/>
    <cellStyle name="Separador de milhares 12 2 4" xfId="1173"/>
    <cellStyle name="Separador de milhares 12 2 4 2" xfId="1174"/>
    <cellStyle name="Separador de milhares 12 2 4 2 2" xfId="1175"/>
    <cellStyle name="Separador de milhares 12 2 4 3" xfId="1176"/>
    <cellStyle name="Separador de milhares 12 2 4 3 2" xfId="1177"/>
    <cellStyle name="Separador de milhares 12 2 4 4" xfId="1178"/>
    <cellStyle name="Separador de milhares 12 2 4 5" xfId="1179"/>
    <cellStyle name="Separador de milhares 12 2 5" xfId="1180"/>
    <cellStyle name="Separador de milhares 12 2 5 2" xfId="1181"/>
    <cellStyle name="Separador de milhares 12 2 5 2 2" xfId="1182"/>
    <cellStyle name="Separador de milhares 12 2 5 3" xfId="1183"/>
    <cellStyle name="Separador de milhares 12 2 5 3 2" xfId="1184"/>
    <cellStyle name="Separador de milhares 12 2 5 4" xfId="1185"/>
    <cellStyle name="Separador de milhares 12 2 5 5" xfId="1186"/>
    <cellStyle name="Separador de milhares 12 2 6" xfId="1187"/>
    <cellStyle name="Separador de milhares 12 2 6 2" xfId="1188"/>
    <cellStyle name="Separador de milhares 12 2 6 2 2" xfId="1189"/>
    <cellStyle name="Separador de milhares 12 2 6 3" xfId="1190"/>
    <cellStyle name="Separador de milhares 12 2 6 3 2" xfId="1191"/>
    <cellStyle name="Separador de milhares 12 2 6 4" xfId="1192"/>
    <cellStyle name="Separador de milhares 12 2 6 5" xfId="1193"/>
    <cellStyle name="Separador de milhares 12 2 7" xfId="1194"/>
    <cellStyle name="Separador de milhares 12 2 7 2" xfId="1195"/>
    <cellStyle name="Separador de milhares 12 2 7 2 2" xfId="1196"/>
    <cellStyle name="Separador de milhares 12 2 7 3" xfId="1197"/>
    <cellStyle name="Separador de milhares 12 2 7 3 2" xfId="1198"/>
    <cellStyle name="Separador de milhares 12 2 7 4" xfId="1199"/>
    <cellStyle name="Separador de milhares 12 2 8" xfId="1200"/>
    <cellStyle name="Separador de milhares 12 2 8 10" xfId="1201"/>
    <cellStyle name="Separador de milhares 12 2 8 2" xfId="1202"/>
    <cellStyle name="Separador de milhares 12 2 8 2 2" xfId="1203"/>
    <cellStyle name="Separador de milhares 12 2 8 2 2 2" xfId="1204"/>
    <cellStyle name="Separador de milhares 12 2 8 2 2 2 2" xfId="1205"/>
    <cellStyle name="Separador de milhares 12 2 8 2 2 3" xfId="1206"/>
    <cellStyle name="Separador de milhares 12 2 8 2 2 3 2" xfId="1207"/>
    <cellStyle name="Separador de milhares 12 2 8 2 2 4" xfId="1208"/>
    <cellStyle name="Separador de milhares 12 2 8 2 3" xfId="1209"/>
    <cellStyle name="Separador de milhares 12 2 8 2 3 2" xfId="1210"/>
    <cellStyle name="Separador de milhares 12 2 8 2 3 2 2" xfId="1211"/>
    <cellStyle name="Separador de milhares 12 2 8 2 3 3" xfId="1212"/>
    <cellStyle name="Separador de milhares 12 2 8 2 3 3 2" xfId="1213"/>
    <cellStyle name="Separador de milhares 12 2 8 2 3 4" xfId="1214"/>
    <cellStyle name="Separador de milhares 12 2 8 2 4" xfId="1215"/>
    <cellStyle name="Separador de milhares 12 2 8 2 4 2" xfId="1216"/>
    <cellStyle name="Separador de milhares 12 2 8 2 5" xfId="1217"/>
    <cellStyle name="Separador de milhares 12 2 8 2 5 2" xfId="1218"/>
    <cellStyle name="Separador de milhares 12 2 8 2 6" xfId="1219"/>
    <cellStyle name="Separador de milhares 12 2 8 2 7" xfId="1220"/>
    <cellStyle name="Separador de milhares 12 2 8 3" xfId="1221"/>
    <cellStyle name="Separador de milhares 12 2 8 3 2" xfId="1222"/>
    <cellStyle name="Separador de milhares 12 2 8 3 2 2" xfId="1223"/>
    <cellStyle name="Separador de milhares 12 2 8 3 3" xfId="1224"/>
    <cellStyle name="Separador de milhares 12 2 8 3 3 2" xfId="1225"/>
    <cellStyle name="Separador de milhares 12 2 8 3 4" xfId="1226"/>
    <cellStyle name="Separador de milhares 12 2 8 4" xfId="1227"/>
    <cellStyle name="Separador de milhares 12 2 8 4 2" xfId="1228"/>
    <cellStyle name="Separador de milhares 12 2 8 4 2 2" xfId="1229"/>
    <cellStyle name="Separador de milhares 12 2 8 4 3" xfId="1230"/>
    <cellStyle name="Separador de milhares 12 2 8 4 3 2" xfId="1231"/>
    <cellStyle name="Separador de milhares 12 2 8 4 4" xfId="1232"/>
    <cellStyle name="Separador de milhares 12 2 8 5" xfId="1233"/>
    <cellStyle name="Separador de milhares 12 2 8 5 2" xfId="1234"/>
    <cellStyle name="Separador de milhares 12 2 8 5 2 2" xfId="1235"/>
    <cellStyle name="Separador de milhares 12 2 8 5 3" xfId="1236"/>
    <cellStyle name="Separador de milhares 12 2 8 5 3 2" xfId="1237"/>
    <cellStyle name="Separador de milhares 12 2 8 5 4" xfId="1238"/>
    <cellStyle name="Separador de milhares 12 2 8 6" xfId="1239"/>
    <cellStyle name="Separador de milhares 12 2 8 6 2" xfId="1240"/>
    <cellStyle name="Separador de milhares 12 2 8 7" xfId="1241"/>
    <cellStyle name="Separador de milhares 12 2 8 7 2" xfId="1242"/>
    <cellStyle name="Separador de milhares 12 2 8 8" xfId="1243"/>
    <cellStyle name="Separador de milhares 12 2 8 9" xfId="1244"/>
    <cellStyle name="Separador de milhares 12 2 9" xfId="1245"/>
    <cellStyle name="Separador de milhares 12 2 9 2" xfId="1246"/>
    <cellStyle name="Separador de milhares 12 2 9 3" xfId="1247"/>
    <cellStyle name="Separador de milhares 12 3" xfId="1248"/>
    <cellStyle name="Separador de milhares 12 3 2" xfId="1249"/>
    <cellStyle name="Separador de milhares 12 3 2 2" xfId="1250"/>
    <cellStyle name="Separador de milhares 12 3 2 2 2" xfId="1251"/>
    <cellStyle name="Separador de milhares 12 3 2 2 2 2" xfId="1252"/>
    <cellStyle name="Separador de milhares 12 3 2 2 2 2 2" xfId="1253"/>
    <cellStyle name="Separador de milhares 12 3 2 2 2 3" xfId="1254"/>
    <cellStyle name="Separador de milhares 12 3 2 2 2 3 2" xfId="1255"/>
    <cellStyle name="Separador de milhares 12 3 2 2 2 4" xfId="1256"/>
    <cellStyle name="Separador de milhares 12 3 2 2 2 5" xfId="1257"/>
    <cellStyle name="Separador de milhares 12 3 2 2 3" xfId="1258"/>
    <cellStyle name="Separador de milhares 12 3 2 2 3 2" xfId="1259"/>
    <cellStyle name="Separador de milhares 12 3 2 2 3 2 2" xfId="1260"/>
    <cellStyle name="Separador de milhares 12 3 2 2 3 3" xfId="1261"/>
    <cellStyle name="Separador de milhares 12 3 2 2 3 3 2" xfId="1262"/>
    <cellStyle name="Separador de milhares 12 3 2 2 3 4" xfId="1263"/>
    <cellStyle name="Separador de milhares 12 3 2 2 3 5" xfId="1264"/>
    <cellStyle name="Separador de milhares 12 3 2 2 4" xfId="1265"/>
    <cellStyle name="Separador de milhares 12 3 2 2 4 2" xfId="1266"/>
    <cellStyle name="Separador de milhares 12 3 2 2 5" xfId="1267"/>
    <cellStyle name="Separador de milhares 12 3 2 2 5 2" xfId="1268"/>
    <cellStyle name="Separador de milhares 12 3 2 2 6" xfId="1269"/>
    <cellStyle name="Separador de milhares 12 3 2 2 7" xfId="1270"/>
    <cellStyle name="Separador de milhares 12 3 2 3" xfId="1271"/>
    <cellStyle name="Separador de milhares 12 3 2 3 2" xfId="1272"/>
    <cellStyle name="Separador de milhares 12 3 2 3 2 2" xfId="1273"/>
    <cellStyle name="Separador de milhares 12 3 2 3 3" xfId="1274"/>
    <cellStyle name="Separador de milhares 12 3 2 3 3 2" xfId="1275"/>
    <cellStyle name="Separador de milhares 12 3 2 3 4" xfId="1276"/>
    <cellStyle name="Separador de milhares 12 3 2 3 5" xfId="1277"/>
    <cellStyle name="Separador de milhares 12 3 2 4" xfId="1278"/>
    <cellStyle name="Separador de milhares 12 3 2 4 2" xfId="1279"/>
    <cellStyle name="Separador de milhares 12 3 2 4 2 2" xfId="1280"/>
    <cellStyle name="Separador de milhares 12 3 2 4 3" xfId="1281"/>
    <cellStyle name="Separador de milhares 12 3 2 4 3 2" xfId="1282"/>
    <cellStyle name="Separador de milhares 12 3 2 4 4" xfId="1283"/>
    <cellStyle name="Separador de milhares 12 3 2 4 5" xfId="1284"/>
    <cellStyle name="Separador de milhares 12 3 2 5" xfId="1285"/>
    <cellStyle name="Separador de milhares 12 3 2 5 2" xfId="1286"/>
    <cellStyle name="Separador de milhares 12 3 2 6" xfId="1287"/>
    <cellStyle name="Separador de milhares 12 3 2 6 2" xfId="1288"/>
    <cellStyle name="Separador de milhares 12 3 2 7" xfId="1289"/>
    <cellStyle name="Separador de milhares 12 3 2 8" xfId="1290"/>
    <cellStyle name="Separador de milhares 12 3 3" xfId="1291"/>
    <cellStyle name="Separador de milhares 12 3 3 2" xfId="1292"/>
    <cellStyle name="Separador de milhares 12 3 3 2 2" xfId="1293"/>
    <cellStyle name="Separador de milhares 12 3 3 3" xfId="1294"/>
    <cellStyle name="Separador de milhares 12 3 3 3 2" xfId="1295"/>
    <cellStyle name="Separador de milhares 12 3 3 4" xfId="1296"/>
    <cellStyle name="Separador de milhares 12 3 3 5" xfId="1297"/>
    <cellStyle name="Separador de milhares 12 3 4" xfId="1298"/>
    <cellStyle name="Separador de milhares 12 3 4 2" xfId="1299"/>
    <cellStyle name="Separador de milhares 12 3 4 3" xfId="1300"/>
    <cellStyle name="Separador de milhares 12 3 5" xfId="1301"/>
    <cellStyle name="Separador de milhares 12 3 5 2" xfId="1302"/>
    <cellStyle name="Separador de milhares 12 3 6" xfId="1303"/>
    <cellStyle name="Separador de milhares 12 4" xfId="1304"/>
    <cellStyle name="Separador de milhares 12 4 2" xfId="1305"/>
    <cellStyle name="Separador de milhares 12 4 2 2" xfId="1306"/>
    <cellStyle name="Separador de milhares 12 4 2 2 2" xfId="1307"/>
    <cellStyle name="Separador de milhares 12 4 2 2 2 2" xfId="1308"/>
    <cellStyle name="Separador de milhares 12 4 2 2 3" xfId="1309"/>
    <cellStyle name="Separador de milhares 12 4 2 2 3 2" xfId="1310"/>
    <cellStyle name="Separador de milhares 12 4 2 2 4" xfId="1311"/>
    <cellStyle name="Separador de milhares 12 4 2 2 5" xfId="1312"/>
    <cellStyle name="Separador de milhares 12 4 2 3" xfId="1313"/>
    <cellStyle name="Separador de milhares 12 4 2 3 2" xfId="1314"/>
    <cellStyle name="Separador de milhares 12 4 2 3 2 2" xfId="1315"/>
    <cellStyle name="Separador de milhares 12 4 2 3 3" xfId="1316"/>
    <cellStyle name="Separador de milhares 12 4 2 3 3 2" xfId="1317"/>
    <cellStyle name="Separador de milhares 12 4 2 3 4" xfId="1318"/>
    <cellStyle name="Separador de milhares 12 4 2 3 5" xfId="1319"/>
    <cellStyle name="Separador de milhares 12 4 2 4" xfId="1320"/>
    <cellStyle name="Separador de milhares 12 4 2 4 2" xfId="1321"/>
    <cellStyle name="Separador de milhares 12 4 2 5" xfId="1322"/>
    <cellStyle name="Separador de milhares 12 4 2 5 2" xfId="1323"/>
    <cellStyle name="Separador de milhares 12 4 2 6" xfId="1324"/>
    <cellStyle name="Separador de milhares 12 4 2 7" xfId="1325"/>
    <cellStyle name="Separador de milhares 12 4 3" xfId="1326"/>
    <cellStyle name="Separador de milhares 12 4 3 2" xfId="1327"/>
    <cellStyle name="Separador de milhares 12 4 3 2 2" xfId="1328"/>
    <cellStyle name="Separador de milhares 12 4 3 3" xfId="1329"/>
    <cellStyle name="Separador de milhares 12 4 3 3 2" xfId="1330"/>
    <cellStyle name="Separador de milhares 12 4 3 4" xfId="1331"/>
    <cellStyle name="Separador de milhares 12 4 3 5" xfId="1332"/>
    <cellStyle name="Separador de milhares 12 4 4" xfId="1333"/>
    <cellStyle name="Separador de milhares 12 4 4 2" xfId="1334"/>
    <cellStyle name="Separador de milhares 12 4 4 2 2" xfId="1335"/>
    <cellStyle name="Separador de milhares 12 4 4 3" xfId="1336"/>
    <cellStyle name="Separador de milhares 12 4 4 3 2" xfId="1337"/>
    <cellStyle name="Separador de milhares 12 4 4 4" xfId="1338"/>
    <cellStyle name="Separador de milhares 12 4 4 5" xfId="1339"/>
    <cellStyle name="Separador de milhares 12 4 5" xfId="1340"/>
    <cellStyle name="Separador de milhares 12 4 5 2" xfId="1341"/>
    <cellStyle name="Separador de milhares 12 4 5 3" xfId="1342"/>
    <cellStyle name="Separador de milhares 12 4 6" xfId="1343"/>
    <cellStyle name="Separador de milhares 12 4 6 2" xfId="1344"/>
    <cellStyle name="Separador de milhares 12 4 7" xfId="1345"/>
    <cellStyle name="Separador de milhares 12 4 8" xfId="1346"/>
    <cellStyle name="Separador de milhares 12 5" xfId="1347"/>
    <cellStyle name="Separador de milhares 12 5 2" xfId="1348"/>
    <cellStyle name="Separador de milhares 12 5 2 2" xfId="1349"/>
    <cellStyle name="Separador de milhares 12 5 2 3" xfId="1350"/>
    <cellStyle name="Separador de milhares 12 5 3" xfId="1351"/>
    <cellStyle name="Separador de milhares 12 5 3 2" xfId="1352"/>
    <cellStyle name="Separador de milhares 12 5 4" xfId="1353"/>
    <cellStyle name="Separador de milhares 12 5 5" xfId="1354"/>
    <cellStyle name="Separador de milhares 12 6" xfId="1355"/>
    <cellStyle name="Separador de milhares 12 6 2" xfId="1356"/>
    <cellStyle name="Separador de milhares 12 7" xfId="1357"/>
    <cellStyle name="Separador de milhares 12 7 2" xfId="1358"/>
    <cellStyle name="Separador de milhares 12 8" xfId="1359"/>
    <cellStyle name="Separador de milhares 2" xfId="1360"/>
    <cellStyle name="Separador de milhares 2 2" xfId="1361"/>
    <cellStyle name="Separador de milhares 2 2 2" xfId="1362"/>
    <cellStyle name="Separador de milhares 2 2 2 10" xfId="1363"/>
    <cellStyle name="Separador de milhares 2 2 2 11" xfId="1364"/>
    <cellStyle name="Separador de milhares 2 2 2 2" xfId="1365"/>
    <cellStyle name="Separador de milhares 2 2 2 2 2" xfId="1366"/>
    <cellStyle name="Separador de milhares 2 2 2 2 2 2" xfId="1367"/>
    <cellStyle name="Separador de milhares 2 2 2 2 2 2 2" xfId="1368"/>
    <cellStyle name="Separador de milhares 2 2 2 2 2 2 2 2" xfId="1369"/>
    <cellStyle name="Separador de milhares 2 2 2 2 2 2 3" xfId="1370"/>
    <cellStyle name="Separador de milhares 2 2 2 2 2 2 3 2" xfId="1371"/>
    <cellStyle name="Separador de milhares 2 2 2 2 2 2 4" xfId="1372"/>
    <cellStyle name="Separador de milhares 2 2 2 2 2 2 5" xfId="1373"/>
    <cellStyle name="Separador de milhares 2 2 2 2 2 3" xfId="1374"/>
    <cellStyle name="Separador de milhares 2 2 2 2 2 3 2" xfId="1375"/>
    <cellStyle name="Separador de milhares 2 2 2 2 2 3 2 2" xfId="1376"/>
    <cellStyle name="Separador de milhares 2 2 2 2 2 3 3" xfId="1377"/>
    <cellStyle name="Separador de milhares 2 2 2 2 2 3 3 2" xfId="1378"/>
    <cellStyle name="Separador de milhares 2 2 2 2 2 3 4" xfId="1379"/>
    <cellStyle name="Separador de milhares 2 2 2 2 2 3 5" xfId="1380"/>
    <cellStyle name="Separador de milhares 2 2 2 2 2 4" xfId="1381"/>
    <cellStyle name="Separador de milhares 2 2 2 2 2 4 2" xfId="1382"/>
    <cellStyle name="Separador de milhares 2 2 2 2 2 5" xfId="1383"/>
    <cellStyle name="Separador de milhares 2 2 2 2 2 5 2" xfId="1384"/>
    <cellStyle name="Separador de milhares 2 2 2 2 2 6" xfId="1385"/>
    <cellStyle name="Separador de milhares 2 2 2 2 2 7" xfId="1386"/>
    <cellStyle name="Separador de milhares 2 2 2 2 3" xfId="1387"/>
    <cellStyle name="Separador de milhares 2 2 2 2 3 2" xfId="1388"/>
    <cellStyle name="Separador de milhares 2 2 2 2 3 2 2" xfId="1389"/>
    <cellStyle name="Separador de milhares 2 2 2 2 3 3" xfId="1390"/>
    <cellStyle name="Separador de milhares 2 2 2 2 3 3 2" xfId="1391"/>
    <cellStyle name="Separador de milhares 2 2 2 2 3 4" xfId="1392"/>
    <cellStyle name="Separador de milhares 2 2 2 2 3 5" xfId="1393"/>
    <cellStyle name="Separador de milhares 2 2 2 2 4" xfId="1394"/>
    <cellStyle name="Separador de milhares 2 2 2 2 4 2" xfId="1395"/>
    <cellStyle name="Separador de milhares 2 2 2 2 4 2 2" xfId="1396"/>
    <cellStyle name="Separador de milhares 2 2 2 2 4 3" xfId="1397"/>
    <cellStyle name="Separador de milhares 2 2 2 2 4 3 2" xfId="1398"/>
    <cellStyle name="Separador de milhares 2 2 2 2 4 4" xfId="1399"/>
    <cellStyle name="Separador de milhares 2 2 2 2 4 5" xfId="1400"/>
    <cellStyle name="Separador de milhares 2 2 2 2 5" xfId="1401"/>
    <cellStyle name="Separador de milhares 2 2 2 2 5 2" xfId="1402"/>
    <cellStyle name="Separador de milhares 2 2 2 2 5 2 2" xfId="1403"/>
    <cellStyle name="Separador de milhares 2 2 2 2 5 3" xfId="1404"/>
    <cellStyle name="Separador de milhares 2 2 2 2 6" xfId="1405"/>
    <cellStyle name="Separador de milhares 2 2 2 2 6 2" xfId="1406"/>
    <cellStyle name="Separador de milhares 2 2 2 2 7" xfId="1407"/>
    <cellStyle name="Separador de milhares 2 2 2 2 8" xfId="1408"/>
    <cellStyle name="Separador de milhares 2 2 2 3" xfId="1409"/>
    <cellStyle name="Separador de milhares 2 2 2 3 2" xfId="1410"/>
    <cellStyle name="Separador de milhares 2 2 2 3 2 2" xfId="1411"/>
    <cellStyle name="Separador de milhares 2 2 2 3 2 2 2" xfId="1412"/>
    <cellStyle name="Separador de milhares 2 2 2 3 2 3" xfId="1413"/>
    <cellStyle name="Separador de milhares 2 2 2 3 2 3 2" xfId="1414"/>
    <cellStyle name="Separador de milhares 2 2 2 3 2 4" xfId="1415"/>
    <cellStyle name="Separador de milhares 2 2 2 3 2 5" xfId="1416"/>
    <cellStyle name="Separador de milhares 2 2 2 3 3" xfId="1417"/>
    <cellStyle name="Separador de milhares 2 2 2 3 3 2" xfId="1418"/>
    <cellStyle name="Separador de milhares 2 2 2 3 3 2 2" xfId="1419"/>
    <cellStyle name="Separador de milhares 2 2 2 3 3 3" xfId="1420"/>
    <cellStyle name="Separador de milhares 2 2 2 3 3 3 2" xfId="1421"/>
    <cellStyle name="Separador de milhares 2 2 2 3 3 4" xfId="1422"/>
    <cellStyle name="Separador de milhares 2 2 2 3 3 5" xfId="1423"/>
    <cellStyle name="Separador de milhares 2 2 2 3 4" xfId="1424"/>
    <cellStyle name="Separador de milhares 2 2 2 3 4 2" xfId="1425"/>
    <cellStyle name="Separador de milhares 2 2 2 3 5" xfId="1426"/>
    <cellStyle name="Separador de milhares 2 2 2 3 5 2" xfId="1427"/>
    <cellStyle name="Separador de milhares 2 2 2 3 6" xfId="1428"/>
    <cellStyle name="Separador de milhares 2 2 2 3 7" xfId="1429"/>
    <cellStyle name="Separador de milhares 2 2 2 4" xfId="1430"/>
    <cellStyle name="Separador de milhares 2 2 2 4 2" xfId="1431"/>
    <cellStyle name="Separador de milhares 2 2 2 4 2 2" xfId="1432"/>
    <cellStyle name="Separador de milhares 2 2 2 4 3" xfId="1433"/>
    <cellStyle name="Separador de milhares 2 2 2 4 3 2" xfId="1434"/>
    <cellStyle name="Separador de milhares 2 2 2 4 4" xfId="1435"/>
    <cellStyle name="Separador de milhares 2 2 2 4 5" xfId="1436"/>
    <cellStyle name="Separador de milhares 2 2 2 5" xfId="1437"/>
    <cellStyle name="Separador de milhares 2 2 2 5 2" xfId="1438"/>
    <cellStyle name="Separador de milhares 2 2 2 5 2 2" xfId="1439"/>
    <cellStyle name="Separador de milhares 2 2 2 5 3" xfId="1440"/>
    <cellStyle name="Separador de milhares 2 2 2 5 3 2" xfId="1441"/>
    <cellStyle name="Separador de milhares 2 2 2 5 4" xfId="1442"/>
    <cellStyle name="Separador de milhares 2 2 2 5 5" xfId="1443"/>
    <cellStyle name="Separador de milhares 2 2 2 6" xfId="1444"/>
    <cellStyle name="Separador de milhares 2 2 2 6 2" xfId="1445"/>
    <cellStyle name="Separador de milhares 2 2 2 6 2 2" xfId="1446"/>
    <cellStyle name="Separador de milhares 2 2 2 6 3" xfId="1447"/>
    <cellStyle name="Separador de milhares 2 2 2 6 3 2" xfId="1448"/>
    <cellStyle name="Separador de milhares 2 2 2 6 4" xfId="1449"/>
    <cellStyle name="Separador de milhares 2 2 2 7" xfId="1450"/>
    <cellStyle name="Separador de milhares 2 2 2 7 2" xfId="1451"/>
    <cellStyle name="Separador de milhares 2 2 2 7 3" xfId="1452"/>
    <cellStyle name="Separador de milhares 2 2 2 8" xfId="1453"/>
    <cellStyle name="Separador de milhares 2 2 2 8 2" xfId="1454"/>
    <cellStyle name="Separador de milhares 2 2 2 8 3" xfId="1455"/>
    <cellStyle name="Separador de milhares 2 2 2 9" xfId="1456"/>
    <cellStyle name="Separador de milhares 2 2 3" xfId="1457"/>
    <cellStyle name="Separador de milhares 2 2 3 2" xfId="1458"/>
    <cellStyle name="Separador de milhares 2 2 3 2 2" xfId="1459"/>
    <cellStyle name="Separador de milhares 2 2 3 2 2 2" xfId="1460"/>
    <cellStyle name="Separador de milhares 2 2 3 2 2 2 2" xfId="1461"/>
    <cellStyle name="Separador de milhares 2 2 3 2 2 3" xfId="1462"/>
    <cellStyle name="Separador de milhares 2 2 3 2 2 3 2" xfId="1463"/>
    <cellStyle name="Separador de milhares 2 2 3 2 2 4" xfId="1464"/>
    <cellStyle name="Separador de milhares 2 2 3 2 2 5" xfId="1465"/>
    <cellStyle name="Separador de milhares 2 2 3 2 3" xfId="1466"/>
    <cellStyle name="Separador de milhares 2 2 3 2 3 2" xfId="1467"/>
    <cellStyle name="Separador de milhares 2 2 3 2 3 2 2" xfId="1468"/>
    <cellStyle name="Separador de milhares 2 2 3 2 3 3" xfId="1469"/>
    <cellStyle name="Separador de milhares 2 2 3 2 3 3 2" xfId="1470"/>
    <cellStyle name="Separador de milhares 2 2 3 2 3 4" xfId="1471"/>
    <cellStyle name="Separador de milhares 2 2 3 2 3 5" xfId="1472"/>
    <cellStyle name="Separador de milhares 2 2 3 2 4" xfId="1473"/>
    <cellStyle name="Separador de milhares 2 2 3 2 4 2" xfId="1474"/>
    <cellStyle name="Separador de milhares 2 2 3 2 5" xfId="1475"/>
    <cellStyle name="Separador de milhares 2 2 3 2 5 2" xfId="1476"/>
    <cellStyle name="Separador de milhares 2 2 3 2 6" xfId="1477"/>
    <cellStyle name="Separador de milhares 2 2 3 2 7" xfId="1478"/>
    <cellStyle name="Separador de milhares 2 2 3 3" xfId="1479"/>
    <cellStyle name="Separador de milhares 2 2 3 3 2" xfId="1480"/>
    <cellStyle name="Separador de milhares 2 2 3 3 2 2" xfId="1481"/>
    <cellStyle name="Separador de milhares 2 2 3 3 3" xfId="1482"/>
    <cellStyle name="Separador de milhares 2 2 3 3 3 2" xfId="1483"/>
    <cellStyle name="Separador de milhares 2 2 3 3 4" xfId="1484"/>
    <cellStyle name="Separador de milhares 2 2 3 3 5" xfId="1485"/>
    <cellStyle name="Separador de milhares 2 2 3 4" xfId="1486"/>
    <cellStyle name="Separador de milhares 2 2 3 4 2" xfId="1487"/>
    <cellStyle name="Separador de milhares 2 2 3 4 2 2" xfId="1488"/>
    <cellStyle name="Separador de milhares 2 2 3 4 3" xfId="1489"/>
    <cellStyle name="Separador de milhares 2 2 3 4 3 2" xfId="1490"/>
    <cellStyle name="Separador de milhares 2 2 3 4 4" xfId="1491"/>
    <cellStyle name="Separador de milhares 2 2 3 4 5" xfId="1492"/>
    <cellStyle name="Separador de milhares 2 2 3 5" xfId="1493"/>
    <cellStyle name="Separador de milhares 2 2 3 5 2" xfId="1494"/>
    <cellStyle name="Separador de milhares 2 2 3 6" xfId="1495"/>
    <cellStyle name="Separador de milhares 2 2 3 6 2" xfId="1496"/>
    <cellStyle name="Separador de milhares 2 2 3 7" xfId="1497"/>
    <cellStyle name="Separador de milhares 2 2 3 8" xfId="1498"/>
    <cellStyle name="Separador de milhares 2 2 4" xfId="1499"/>
    <cellStyle name="Separador de milhares 2 2 4 2" xfId="1500"/>
    <cellStyle name="Separador de milhares 2 2 5" xfId="1501"/>
    <cellStyle name="Separador de milhares 2 2 5 2" xfId="1502"/>
    <cellStyle name="Separador de milhares 2 2 6" xfId="1503"/>
    <cellStyle name="Separador de milhares 2 3" xfId="1504"/>
    <cellStyle name="Separador de milhares 2 3 10" xfId="1505"/>
    <cellStyle name="Separador de milhares 2 3 2" xfId="1506"/>
    <cellStyle name="Separador de milhares 2 3 2 2" xfId="1507"/>
    <cellStyle name="Separador de milhares 2 3 2 2 2" xfId="1508"/>
    <cellStyle name="Separador de milhares 2 3 2 2 2 2" xfId="1509"/>
    <cellStyle name="Separador de milhares 2 3 2 2 2 2 2" xfId="1510"/>
    <cellStyle name="Separador de milhares 2 3 2 2 2 3" xfId="1511"/>
    <cellStyle name="Separador de milhares 2 3 2 2 2 3 2" xfId="1512"/>
    <cellStyle name="Separador de milhares 2 3 2 2 2 4" xfId="1513"/>
    <cellStyle name="Separador de milhares 2 3 2 2 2 5" xfId="1514"/>
    <cellStyle name="Separador de milhares 2 3 2 2 3" xfId="1515"/>
    <cellStyle name="Separador de milhares 2 3 2 2 3 2" xfId="1516"/>
    <cellStyle name="Separador de milhares 2 3 2 2 4" xfId="1517"/>
    <cellStyle name="Separador de milhares 2 3 2 2 4 2" xfId="1518"/>
    <cellStyle name="Separador de milhares 2 3 2 2 5" xfId="1519"/>
    <cellStyle name="Separador de milhares 2 3 2 2 6" xfId="1520"/>
    <cellStyle name="Separador de milhares 2 3 2 3" xfId="1521"/>
    <cellStyle name="Separador de milhares 2 3 2 3 2" xfId="1522"/>
    <cellStyle name="Separador de milhares 2 3 2 3 2 2" xfId="1523"/>
    <cellStyle name="Separador de milhares 2 3 2 3 2 2 2" xfId="1524"/>
    <cellStyle name="Separador de milhares 2 3 2 3 2 3" xfId="1525"/>
    <cellStyle name="Separador de milhares 2 3 2 3 2 3 2" xfId="1526"/>
    <cellStyle name="Separador de milhares 2 3 2 3 2 4" xfId="1527"/>
    <cellStyle name="Separador de milhares 2 3 2 3 2 5" xfId="1528"/>
    <cellStyle name="Separador de milhares 2 3 2 3 3" xfId="1529"/>
    <cellStyle name="Separador de milhares 2 3 2 3 3 2" xfId="1530"/>
    <cellStyle name="Separador de milhares 2 3 2 3 3 2 2" xfId="1531"/>
    <cellStyle name="Separador de milhares 2 3 2 3 3 3" xfId="1532"/>
    <cellStyle name="Separador de milhares 2 3 2 3 3 3 2" xfId="1533"/>
    <cellStyle name="Separador de milhares 2 3 2 3 3 4" xfId="1534"/>
    <cellStyle name="Separador de milhares 2 3 2 3 3 5" xfId="1535"/>
    <cellStyle name="Separador de milhares 2 3 2 3 4" xfId="1536"/>
    <cellStyle name="Separador de milhares 2 3 2 3 4 2" xfId="1537"/>
    <cellStyle name="Separador de milhares 2 3 2 3 5" xfId="1538"/>
    <cellStyle name="Separador de milhares 2 3 2 3 5 2" xfId="1539"/>
    <cellStyle name="Separador de milhares 2 3 2 3 6" xfId="1540"/>
    <cellStyle name="Separador de milhares 2 3 2 3 7" xfId="1541"/>
    <cellStyle name="Separador de milhares 2 3 2 4" xfId="1542"/>
    <cellStyle name="Separador de milhares 2 3 2 4 2" xfId="1543"/>
    <cellStyle name="Separador de milhares 2 3 2 4 2 2" xfId="1544"/>
    <cellStyle name="Separador de milhares 2 3 2 4 3" xfId="1545"/>
    <cellStyle name="Separador de milhares 2 3 2 4 3 2" xfId="1546"/>
    <cellStyle name="Separador de milhares 2 3 2 4 4" xfId="1547"/>
    <cellStyle name="Separador de milhares 2 3 2 4 5" xfId="1548"/>
    <cellStyle name="Separador de milhares 2 3 2 5" xfId="1549"/>
    <cellStyle name="Separador de milhares 2 3 2 5 2" xfId="1550"/>
    <cellStyle name="Separador de milhares 2 3 2 6" xfId="1551"/>
    <cellStyle name="Separador de milhares 2 3 2 6 2" xfId="1552"/>
    <cellStyle name="Separador de milhares 2 3 2 7" xfId="1553"/>
    <cellStyle name="Separador de milhares 2 3 3" xfId="1554"/>
    <cellStyle name="Separador de milhares 2 3 3 2" xfId="1555"/>
    <cellStyle name="Separador de milhares 2 3 3 2 2" xfId="1556"/>
    <cellStyle name="Separador de milhares 2 3 3 2 2 2" xfId="1557"/>
    <cellStyle name="Separador de milhares 2 3 3 2 2 2 2" xfId="1558"/>
    <cellStyle name="Separador de milhares 2 3 3 2 2 3" xfId="1559"/>
    <cellStyle name="Separador de milhares 2 3 3 2 2 3 2" xfId="1560"/>
    <cellStyle name="Separador de milhares 2 3 3 2 2 4" xfId="1561"/>
    <cellStyle name="Separador de milhares 2 3 3 2 2 5" xfId="1562"/>
    <cellStyle name="Separador de milhares 2 3 3 2 3" xfId="1563"/>
    <cellStyle name="Separador de milhares 2 3 3 2 3 2" xfId="1564"/>
    <cellStyle name="Separador de milhares 2 3 3 2 4" xfId="1565"/>
    <cellStyle name="Separador de milhares 2 3 3 2 4 2" xfId="1566"/>
    <cellStyle name="Separador de milhares 2 3 3 2 5" xfId="1567"/>
    <cellStyle name="Separador de milhares 2 3 3 2 6" xfId="1568"/>
    <cellStyle name="Separador de milhares 2 3 3 3" xfId="1569"/>
    <cellStyle name="Separador de milhares 2 3 3 3 2" xfId="1570"/>
    <cellStyle name="Separador de milhares 2 3 3 4" xfId="1571"/>
    <cellStyle name="Separador de milhares 2 3 3 4 2" xfId="1572"/>
    <cellStyle name="Separador de milhares 2 3 3 5" xfId="1573"/>
    <cellStyle name="Separador de milhares 2 3 4" xfId="1574"/>
    <cellStyle name="Separador de milhares 2 3 4 2" xfId="1575"/>
    <cellStyle name="Separador de milhares 2 3 4 2 2" xfId="1576"/>
    <cellStyle name="Separador de milhares 2 3 4 2 2 2" xfId="1577"/>
    <cellStyle name="Separador de milhares 2 3 4 2 3" xfId="1578"/>
    <cellStyle name="Separador de milhares 2 3 4 2 3 2" xfId="1579"/>
    <cellStyle name="Separador de milhares 2 3 4 2 4" xfId="1580"/>
    <cellStyle name="Separador de milhares 2 3 4 2 5" xfId="1581"/>
    <cellStyle name="Separador de milhares 2 3 4 3" xfId="1582"/>
    <cellStyle name="Separador de milhares 2 3 4 3 2" xfId="1583"/>
    <cellStyle name="Separador de milhares 2 3 4 3 2 2" xfId="1584"/>
    <cellStyle name="Separador de milhares 2 3 4 3 3" xfId="1585"/>
    <cellStyle name="Separador de milhares 2 3 4 3 3 2" xfId="1586"/>
    <cellStyle name="Separador de milhares 2 3 4 3 4" xfId="1587"/>
    <cellStyle name="Separador de milhares 2 3 4 3 5" xfId="1588"/>
    <cellStyle name="Separador de milhares 2 3 4 4" xfId="1589"/>
    <cellStyle name="Separador de milhares 2 3 4 4 2" xfId="1590"/>
    <cellStyle name="Separador de milhares 2 3 4 5" xfId="1591"/>
    <cellStyle name="Separador de milhares 2 3 4 5 2" xfId="1592"/>
    <cellStyle name="Separador de milhares 2 3 4 6" xfId="1593"/>
    <cellStyle name="Separador de milhares 2 3 4 7" xfId="1594"/>
    <cellStyle name="Separador de milhares 2 3 5" xfId="1595"/>
    <cellStyle name="Separador de milhares 2 3 5 2" xfId="1596"/>
    <cellStyle name="Separador de milhares 2 3 5 2 2" xfId="1597"/>
    <cellStyle name="Separador de milhares 2 3 5 3" xfId="1598"/>
    <cellStyle name="Separador de milhares 2 3 5 3 2" xfId="1599"/>
    <cellStyle name="Separador de milhares 2 3 5 4" xfId="1600"/>
    <cellStyle name="Separador de milhares 2 3 5 5" xfId="1601"/>
    <cellStyle name="Separador de milhares 2 3 6" xfId="1602"/>
    <cellStyle name="Separador de milhares 2 3 6 2" xfId="1603"/>
    <cellStyle name="Separador de milhares 2 3 6 2 2" xfId="1604"/>
    <cellStyle name="Separador de milhares 2 3 6 3" xfId="1605"/>
    <cellStyle name="Separador de milhares 2 3 6 3 2" xfId="1606"/>
    <cellStyle name="Separador de milhares 2 3 6 4" xfId="1607"/>
    <cellStyle name="Separador de milhares 2 3 6 5" xfId="1608"/>
    <cellStyle name="Separador de milhares 2 3 7" xfId="1609"/>
    <cellStyle name="Separador de milhares 2 3 7 2" xfId="1610"/>
    <cellStyle name="Separador de milhares 2 3 8" xfId="1611"/>
    <cellStyle name="Separador de milhares 2 3 8 2" xfId="1612"/>
    <cellStyle name="Separador de milhares 2 3 9" xfId="1613"/>
    <cellStyle name="Separador de milhares 2 4" xfId="1614"/>
    <cellStyle name="Separador de milhares 2 4 2" xfId="1615"/>
    <cellStyle name="Separador de milhares 2 4 2 2" xfId="1616"/>
    <cellStyle name="Separador de milhares 2 4 2 2 2" xfId="1617"/>
    <cellStyle name="Separador de milhares 2 4 2 2 2 2" xfId="1618"/>
    <cellStyle name="Separador de milhares 2 4 2 2 3" xfId="1619"/>
    <cellStyle name="Separador de milhares 2 4 2 2 3 2" xfId="1620"/>
    <cellStyle name="Separador de milhares 2 4 2 2 4" xfId="1621"/>
    <cellStyle name="Separador de milhares 2 4 2 2 5" xfId="1622"/>
    <cellStyle name="Separador de milhares 2 4 2 3" xfId="1623"/>
    <cellStyle name="Separador de milhares 2 4 2 3 2" xfId="1624"/>
    <cellStyle name="Separador de milhares 2 4 2 4" xfId="1625"/>
    <cellStyle name="Separador de milhares 2 4 2 4 2" xfId="1626"/>
    <cellStyle name="Separador de milhares 2 4 2 5" xfId="1627"/>
    <cellStyle name="Separador de milhares 2 4 2 6" xfId="1628"/>
    <cellStyle name="Separador de milhares 2 4 3" xfId="1629"/>
    <cellStyle name="Separador de milhares 2 4 3 2" xfId="1630"/>
    <cellStyle name="Separador de milhares 2 4 4" xfId="1631"/>
    <cellStyle name="Separador de milhares 2 4 4 2" xfId="1632"/>
    <cellStyle name="Separador de milhares 2 4 5" xfId="1633"/>
    <cellStyle name="Separador de milhares 2 5" xfId="1634"/>
    <cellStyle name="Separador de milhares 2 5 2" xfId="1635"/>
    <cellStyle name="Separador de milhares 2 5 2 2" xfId="1636"/>
    <cellStyle name="Separador de milhares 2 5 3" xfId="1637"/>
    <cellStyle name="Separador de milhares 2 5 3 2" xfId="1638"/>
    <cellStyle name="Separador de milhares 2 5 4" xfId="1639"/>
    <cellStyle name="Separador de milhares 2 5 5" xfId="1640"/>
    <cellStyle name="Separador de milhares 2 6" xfId="1641"/>
    <cellStyle name="Separador de milhares 2 6 2" xfId="1642"/>
    <cellStyle name="Separador de milhares 2 7" xfId="1643"/>
    <cellStyle name="Separador de milhares 2 7 2" xfId="1644"/>
    <cellStyle name="Separador de milhares 2 8" xfId="1645"/>
    <cellStyle name="Separador de milhares 3" xfId="1646"/>
    <cellStyle name="Separador de milhares 3 2" xfId="1647"/>
    <cellStyle name="Separador de milhares 3 2 10" xfId="1648"/>
    <cellStyle name="Separador de milhares 3 2 2" xfId="1649"/>
    <cellStyle name="Separador de milhares 3 2 2 2" xfId="1650"/>
    <cellStyle name="Separador de milhares 3 2 2 2 2" xfId="1651"/>
    <cellStyle name="Separador de milhares 3 2 2 2 2 2" xfId="1652"/>
    <cellStyle name="Separador de milhares 3 2 2 2 2 2 2" xfId="1653"/>
    <cellStyle name="Separador de milhares 3 2 2 2 2 3" xfId="1654"/>
    <cellStyle name="Separador de milhares 3 2 2 2 2 3 2" xfId="1655"/>
    <cellStyle name="Separador de milhares 3 2 2 2 2 4" xfId="1656"/>
    <cellStyle name="Separador de milhares 3 2 2 2 2 5" xfId="1657"/>
    <cellStyle name="Separador de milhares 3 2 2 2 3" xfId="1658"/>
    <cellStyle name="Separador de milhares 3 2 2 2 3 2" xfId="1659"/>
    <cellStyle name="Separador de milhares 3 2 2 2 3 2 2" xfId="1660"/>
    <cellStyle name="Separador de milhares 3 2 2 2 3 3" xfId="1661"/>
    <cellStyle name="Separador de milhares 3 2 2 2 3 3 2" xfId="1662"/>
    <cellStyle name="Separador de milhares 3 2 2 2 3 4" xfId="1663"/>
    <cellStyle name="Separador de milhares 3 2 2 2 3 5" xfId="1664"/>
    <cellStyle name="Separador de milhares 3 2 2 2 4" xfId="1665"/>
    <cellStyle name="Separador de milhares 3 2 2 2 4 2" xfId="1666"/>
    <cellStyle name="Separador de milhares 3 2 2 2 5" xfId="1667"/>
    <cellStyle name="Separador de milhares 3 2 2 2 5 2" xfId="1668"/>
    <cellStyle name="Separador de milhares 3 2 2 2 6" xfId="1669"/>
    <cellStyle name="Separador de milhares 3 2 2 2 7" xfId="1670"/>
    <cellStyle name="Separador de milhares 3 2 2 3" xfId="1671"/>
    <cellStyle name="Separador de milhares 3 2 2 3 2" xfId="1672"/>
    <cellStyle name="Separador de milhares 3 2 2 3 2 2" xfId="1673"/>
    <cellStyle name="Separador de milhares 3 2 2 3 3" xfId="1674"/>
    <cellStyle name="Separador de milhares 3 2 2 3 3 2" xfId="1675"/>
    <cellStyle name="Separador de milhares 3 2 2 3 4" xfId="1676"/>
    <cellStyle name="Separador de milhares 3 2 2 3 5" xfId="1677"/>
    <cellStyle name="Separador de milhares 3 2 2 4" xfId="1678"/>
    <cellStyle name="Separador de milhares 3 2 2 4 2" xfId="1679"/>
    <cellStyle name="Separador de milhares 3 2 2 4 2 2" xfId="1680"/>
    <cellStyle name="Separador de milhares 3 2 2 4 3" xfId="1681"/>
    <cellStyle name="Separador de milhares 3 2 2 4 3 2" xfId="1682"/>
    <cellStyle name="Separador de milhares 3 2 2 4 4" xfId="1683"/>
    <cellStyle name="Separador de milhares 3 2 2 4 5" xfId="1684"/>
    <cellStyle name="Separador de milhares 3 2 2 5" xfId="1685"/>
    <cellStyle name="Separador de milhares 3 2 2 5 2" xfId="1686"/>
    <cellStyle name="Separador de milhares 3 2 2 6" xfId="1687"/>
    <cellStyle name="Separador de milhares 3 2 2 6 2" xfId="1688"/>
    <cellStyle name="Separador de milhares 3 2 2 7" xfId="1689"/>
    <cellStyle name="Separador de milhares 3 2 2 8" xfId="1690"/>
    <cellStyle name="Separador de milhares 3 2 3" xfId="1691"/>
    <cellStyle name="Separador de milhares 3 2 3 2" xfId="1692"/>
    <cellStyle name="Separador de milhares 3 2 3 2 2" xfId="1693"/>
    <cellStyle name="Separador de milhares 3 2 3 2 2 2" xfId="1694"/>
    <cellStyle name="Separador de milhares 3 2 3 2 3" xfId="1695"/>
    <cellStyle name="Separador de milhares 3 2 3 2 3 2" xfId="1696"/>
    <cellStyle name="Separador de milhares 3 2 3 2 4" xfId="1697"/>
    <cellStyle name="Separador de milhares 3 2 3 2 5" xfId="1698"/>
    <cellStyle name="Separador de milhares 3 2 3 3" xfId="1699"/>
    <cellStyle name="Separador de milhares 3 2 3 3 2" xfId="1700"/>
    <cellStyle name="Separador de milhares 3 2 3 3 2 2" xfId="1701"/>
    <cellStyle name="Separador de milhares 3 2 3 3 3" xfId="1702"/>
    <cellStyle name="Separador de milhares 3 2 3 3 3 2" xfId="1703"/>
    <cellStyle name="Separador de milhares 3 2 3 3 4" xfId="1704"/>
    <cellStyle name="Separador de milhares 3 2 3 3 5" xfId="1705"/>
    <cellStyle name="Separador de milhares 3 2 3 4" xfId="1706"/>
    <cellStyle name="Separador de milhares 3 2 3 4 2" xfId="1707"/>
    <cellStyle name="Separador de milhares 3 2 3 5" xfId="1708"/>
    <cellStyle name="Separador de milhares 3 2 3 5 2" xfId="1709"/>
    <cellStyle name="Separador de milhares 3 2 3 6" xfId="1710"/>
    <cellStyle name="Separador de milhares 3 2 3 7" xfId="1711"/>
    <cellStyle name="Separador de milhares 3 2 4" xfId="1712"/>
    <cellStyle name="Separador de milhares 3 2 4 2" xfId="1713"/>
    <cellStyle name="Separador de milhares 3 2 4 2 2" xfId="1714"/>
    <cellStyle name="Separador de milhares 3 2 4 3" xfId="1715"/>
    <cellStyle name="Separador de milhares 3 2 4 3 2" xfId="1716"/>
    <cellStyle name="Separador de milhares 3 2 4 4" xfId="1717"/>
    <cellStyle name="Separador de milhares 3 2 4 5" xfId="1718"/>
    <cellStyle name="Separador de milhares 3 2 5" xfId="1719"/>
    <cellStyle name="Separador de milhares 3 2 5 2" xfId="1720"/>
    <cellStyle name="Separador de milhares 3 2 5 2 2" xfId="1721"/>
    <cellStyle name="Separador de milhares 3 2 5 3" xfId="1722"/>
    <cellStyle name="Separador de milhares 3 2 5 3 2" xfId="1723"/>
    <cellStyle name="Separador de milhares 3 2 5 4" xfId="1724"/>
    <cellStyle name="Separador de milhares 3 2 5 5" xfId="1725"/>
    <cellStyle name="Separador de milhares 3 2 6" xfId="1726"/>
    <cellStyle name="Separador de milhares 3 2 6 2" xfId="1727"/>
    <cellStyle name="Separador de milhares 3 2 6 2 2" xfId="1728"/>
    <cellStyle name="Separador de milhares 3 2 6 3" xfId="1729"/>
    <cellStyle name="Separador de milhares 3 2 6 3 2" xfId="1730"/>
    <cellStyle name="Separador de milhares 3 2 6 4" xfId="1731"/>
    <cellStyle name="Separador de milhares 3 2 7" xfId="1732"/>
    <cellStyle name="Separador de milhares 3 2 7 2" xfId="1733"/>
    <cellStyle name="Separador de milhares 3 2 7 3" xfId="1734"/>
    <cellStyle name="Separador de milhares 3 2 8" xfId="1735"/>
    <cellStyle name="Separador de milhares 3 2 8 2" xfId="1736"/>
    <cellStyle name="Separador de milhares 3 2 9" xfId="1737"/>
    <cellStyle name="Separador de milhares 3 3" xfId="1738"/>
    <cellStyle name="Separador de milhares 3 3 2" xfId="1739"/>
    <cellStyle name="Separador de milhares 3 4" xfId="1740"/>
    <cellStyle name="Separador de milhares 3 4 2" xfId="1741"/>
    <cellStyle name="Separador de milhares 3 5" xfId="1742"/>
    <cellStyle name="Separador de milhares 4" xfId="1743"/>
    <cellStyle name="Separador de milhares 4 2" xfId="1744"/>
    <cellStyle name="Separador de milhares 4 2 2" xfId="1745"/>
    <cellStyle name="Separador de milhares 4 2 2 2" xfId="1746"/>
    <cellStyle name="Separador de milhares 4 2 2 2 2" xfId="1747"/>
    <cellStyle name="Separador de milhares 4 2 2 2 2 2" xfId="1748"/>
    <cellStyle name="Separador de milhares 4 2 2 2 2 2 2" xfId="1749"/>
    <cellStyle name="Separador de milhares 4 2 2 2 2 3" xfId="1750"/>
    <cellStyle name="Separador de milhares 4 2 2 2 2 3 2" xfId="1751"/>
    <cellStyle name="Separador de milhares 4 2 2 2 2 4" xfId="1752"/>
    <cellStyle name="Separador de milhares 4 2 2 2 2 5" xfId="1753"/>
    <cellStyle name="Separador de milhares 4 2 2 2 3" xfId="1754"/>
    <cellStyle name="Separador de milhares 4 2 2 2 3 2" xfId="1755"/>
    <cellStyle name="Separador de milhares 4 2 2 2 3 2 2" xfId="1756"/>
    <cellStyle name="Separador de milhares 4 2 2 2 3 3" xfId="1757"/>
    <cellStyle name="Separador de milhares 4 2 2 2 3 3 2" xfId="1758"/>
    <cellStyle name="Separador de milhares 4 2 2 2 3 4" xfId="1759"/>
    <cellStyle name="Separador de milhares 4 2 2 2 3 5" xfId="1760"/>
    <cellStyle name="Separador de milhares 4 2 2 2 4" xfId="1761"/>
    <cellStyle name="Separador de milhares 4 2 2 2 4 2" xfId="1762"/>
    <cellStyle name="Separador de milhares 4 2 2 2 5" xfId="1763"/>
    <cellStyle name="Separador de milhares 4 2 2 2 5 2" xfId="1764"/>
    <cellStyle name="Separador de milhares 4 2 2 2 6" xfId="1765"/>
    <cellStyle name="Separador de milhares 4 2 2 2 7" xfId="1766"/>
    <cellStyle name="Separador de milhares 4 2 2 3" xfId="1767"/>
    <cellStyle name="Separador de milhares 4 2 2 3 2" xfId="1768"/>
    <cellStyle name="Separador de milhares 4 2 2 3 2 2" xfId="1769"/>
    <cellStyle name="Separador de milhares 4 2 2 3 3" xfId="1770"/>
    <cellStyle name="Separador de milhares 4 2 2 3 3 2" xfId="1771"/>
    <cellStyle name="Separador de milhares 4 2 2 3 4" xfId="1772"/>
    <cellStyle name="Separador de milhares 4 2 2 3 5" xfId="1773"/>
    <cellStyle name="Separador de milhares 4 2 2 4" xfId="1774"/>
    <cellStyle name="Separador de milhares 4 2 2 4 2" xfId="1775"/>
    <cellStyle name="Separador de milhares 4 2 2 4 2 2" xfId="1776"/>
    <cellStyle name="Separador de milhares 4 2 2 4 3" xfId="1777"/>
    <cellStyle name="Separador de milhares 4 2 2 4 3 2" xfId="1778"/>
    <cellStyle name="Separador de milhares 4 2 2 4 4" xfId="1779"/>
    <cellStyle name="Separador de milhares 4 2 2 4 5" xfId="1780"/>
    <cellStyle name="Separador de milhares 4 2 2 5" xfId="1781"/>
    <cellStyle name="Separador de milhares 4 2 2 5 2" xfId="1782"/>
    <cellStyle name="Separador de milhares 4 2 2 6" xfId="1783"/>
    <cellStyle name="Separador de milhares 4 2 2 6 2" xfId="1784"/>
    <cellStyle name="Separador de milhares 4 2 2 7" xfId="1785"/>
    <cellStyle name="Separador de milhares 4 2 2 8" xfId="1786"/>
    <cellStyle name="Separador de milhares 4 2 3" xfId="1787"/>
    <cellStyle name="Separador de milhares 4 2 3 2" xfId="1788"/>
    <cellStyle name="Separador de milhares 4 2 3 2 2" xfId="1789"/>
    <cellStyle name="Separador de milhares 4 2 3 2 2 2" xfId="1790"/>
    <cellStyle name="Separador de milhares 4 2 3 2 3" xfId="1791"/>
    <cellStyle name="Separador de milhares 4 2 3 2 3 2" xfId="1792"/>
    <cellStyle name="Separador de milhares 4 2 3 2 4" xfId="1793"/>
    <cellStyle name="Separador de milhares 4 2 3 2 5" xfId="1794"/>
    <cellStyle name="Separador de milhares 4 2 3 3" xfId="1795"/>
    <cellStyle name="Separador de milhares 4 2 3 3 2" xfId="1796"/>
    <cellStyle name="Separador de milhares 4 2 3 3 2 2" xfId="1797"/>
    <cellStyle name="Separador de milhares 4 2 3 3 3" xfId="1798"/>
    <cellStyle name="Separador de milhares 4 2 3 3 3 2" xfId="1799"/>
    <cellStyle name="Separador de milhares 4 2 3 3 4" xfId="1800"/>
    <cellStyle name="Separador de milhares 4 2 3 3 5" xfId="1801"/>
    <cellStyle name="Separador de milhares 4 2 3 4" xfId="1802"/>
    <cellStyle name="Separador de milhares 4 2 3 4 2" xfId="1803"/>
    <cellStyle name="Separador de milhares 4 2 3 5" xfId="1804"/>
    <cellStyle name="Separador de milhares 4 2 3 5 2" xfId="1805"/>
    <cellStyle name="Separador de milhares 4 2 3 6" xfId="1806"/>
    <cellStyle name="Separador de milhares 4 2 3 7" xfId="1807"/>
    <cellStyle name="Separador de milhares 4 2 4" xfId="1808"/>
    <cellStyle name="Separador de milhares 4 2 4 2" xfId="1809"/>
    <cellStyle name="Separador de milhares 4 2 4 2 2" xfId="1810"/>
    <cellStyle name="Separador de milhares 4 2 4 3" xfId="1811"/>
    <cellStyle name="Separador de milhares 4 2 4 3 2" xfId="1812"/>
    <cellStyle name="Separador de milhares 4 2 4 4" xfId="1813"/>
    <cellStyle name="Separador de milhares 4 2 4 5" xfId="1814"/>
    <cellStyle name="Separador de milhares 4 2 5" xfId="1815"/>
    <cellStyle name="Separador de milhares 4 2 5 2" xfId="1816"/>
    <cellStyle name="Separador de milhares 4 2 5 2 2" xfId="1817"/>
    <cellStyle name="Separador de milhares 4 2 5 3" xfId="1818"/>
    <cellStyle name="Separador de milhares 4 2 5 3 2" xfId="1819"/>
    <cellStyle name="Separador de milhares 4 2 5 4" xfId="1820"/>
    <cellStyle name="Separador de milhares 4 2 5 5" xfId="1821"/>
    <cellStyle name="Separador de milhares 4 2 6" xfId="1822"/>
    <cellStyle name="Separador de milhares 4 2 6 2" xfId="1823"/>
    <cellStyle name="Separador de milhares 4 2 7" xfId="1824"/>
    <cellStyle name="Separador de milhares 4 2 7 2" xfId="1825"/>
    <cellStyle name="Separador de milhares 4 2 8" xfId="1826"/>
    <cellStyle name="Separador de milhares 4 2 9" xfId="1827"/>
    <cellStyle name="Separador de milhares 4 3" xfId="1828"/>
    <cellStyle name="Separador de milhares 4 3 2" xfId="1829"/>
    <cellStyle name="Separador de milhares 4 4" xfId="1830"/>
    <cellStyle name="Separador de milhares 4 4 2" xfId="1831"/>
    <cellStyle name="Separador de milhares 4 5" xfId="1832"/>
    <cellStyle name="Separador de milhares 5" xfId="1833"/>
    <cellStyle name="Separador de milhares 5 2" xfId="1834"/>
    <cellStyle name="Separador de milhares 5 2 2" xfId="1835"/>
    <cellStyle name="Separador de milhares 5 2 2 2" xfId="1836"/>
    <cellStyle name="Separador de milhares 5 2 2 2 2" xfId="1837"/>
    <cellStyle name="Separador de milhares 5 2 2 2 2 2" xfId="1838"/>
    <cellStyle name="Separador de milhares 5 2 2 2 2 2 2" xfId="1839"/>
    <cellStyle name="Separador de milhares 5 2 2 2 2 3" xfId="1840"/>
    <cellStyle name="Separador de milhares 5 2 2 2 2 3 2" xfId="1841"/>
    <cellStyle name="Separador de milhares 5 2 2 2 2 4" xfId="1842"/>
    <cellStyle name="Separador de milhares 5 2 2 2 2 5" xfId="1843"/>
    <cellStyle name="Separador de milhares 5 2 2 2 3" xfId="1844"/>
    <cellStyle name="Separador de milhares 5 2 2 2 3 2" xfId="1845"/>
    <cellStyle name="Separador de milhares 5 2 2 2 3 2 2" xfId="1846"/>
    <cellStyle name="Separador de milhares 5 2 2 2 3 3" xfId="1847"/>
    <cellStyle name="Separador de milhares 5 2 2 2 3 3 2" xfId="1848"/>
    <cellStyle name="Separador de milhares 5 2 2 2 3 4" xfId="1849"/>
    <cellStyle name="Separador de milhares 5 2 2 2 3 5" xfId="1850"/>
    <cellStyle name="Separador de milhares 5 2 2 2 4" xfId="1851"/>
    <cellStyle name="Separador de milhares 5 2 2 2 4 2" xfId="1852"/>
    <cellStyle name="Separador de milhares 5 2 2 2 5" xfId="1853"/>
    <cellStyle name="Separador de milhares 5 2 2 2 5 2" xfId="1854"/>
    <cellStyle name="Separador de milhares 5 2 2 2 6" xfId="1855"/>
    <cellStyle name="Separador de milhares 5 2 2 2 7" xfId="1856"/>
    <cellStyle name="Separador de milhares 5 2 2 3" xfId="1857"/>
    <cellStyle name="Separador de milhares 5 2 2 3 2" xfId="1858"/>
    <cellStyle name="Separador de milhares 5 2 2 3 2 2" xfId="1859"/>
    <cellStyle name="Separador de milhares 5 2 2 3 3" xfId="1860"/>
    <cellStyle name="Separador de milhares 5 2 2 3 3 2" xfId="1861"/>
    <cellStyle name="Separador de milhares 5 2 2 3 4" xfId="1862"/>
    <cellStyle name="Separador de milhares 5 2 2 3 5" xfId="1863"/>
    <cellStyle name="Separador de milhares 5 2 2 4" xfId="1864"/>
    <cellStyle name="Separador de milhares 5 2 2 4 2" xfId="1865"/>
    <cellStyle name="Separador de milhares 5 2 2 4 2 2" xfId="1866"/>
    <cellStyle name="Separador de milhares 5 2 2 4 3" xfId="1867"/>
    <cellStyle name="Separador de milhares 5 2 2 4 3 2" xfId="1868"/>
    <cellStyle name="Separador de milhares 5 2 2 4 4" xfId="1869"/>
    <cellStyle name="Separador de milhares 5 2 2 4 5" xfId="1870"/>
    <cellStyle name="Separador de milhares 5 2 2 5" xfId="1871"/>
    <cellStyle name="Separador de milhares 5 2 2 5 2" xfId="1872"/>
    <cellStyle name="Separador de milhares 5 2 2 6" xfId="1873"/>
    <cellStyle name="Separador de milhares 5 2 2 6 2" xfId="1874"/>
    <cellStyle name="Separador de milhares 5 2 2 7" xfId="1875"/>
    <cellStyle name="Separador de milhares 5 2 2 8" xfId="1876"/>
    <cellStyle name="Separador de milhares 5 2 3" xfId="1877"/>
    <cellStyle name="Separador de milhares 5 2 3 2" xfId="1878"/>
    <cellStyle name="Separador de milhares 5 2 3 2 2" xfId="1879"/>
    <cellStyle name="Separador de milhares 5 2 3 2 2 2" xfId="1880"/>
    <cellStyle name="Separador de milhares 5 2 3 2 3" xfId="1881"/>
    <cellStyle name="Separador de milhares 5 2 3 2 3 2" xfId="1882"/>
    <cellStyle name="Separador de milhares 5 2 3 2 4" xfId="1883"/>
    <cellStyle name="Separador de milhares 5 2 3 2 5" xfId="1884"/>
    <cellStyle name="Separador de milhares 5 2 3 3" xfId="1885"/>
    <cellStyle name="Separador de milhares 5 2 3 3 2" xfId="1886"/>
    <cellStyle name="Separador de milhares 5 2 3 3 2 2" xfId="1887"/>
    <cellStyle name="Separador de milhares 5 2 3 3 3" xfId="1888"/>
    <cellStyle name="Separador de milhares 5 2 3 3 3 2" xfId="1889"/>
    <cellStyle name="Separador de milhares 5 2 3 3 4" xfId="1890"/>
    <cellStyle name="Separador de milhares 5 2 3 3 5" xfId="1891"/>
    <cellStyle name="Separador de milhares 5 2 3 4" xfId="1892"/>
    <cellStyle name="Separador de milhares 5 2 3 4 2" xfId="1893"/>
    <cellStyle name="Separador de milhares 5 2 3 5" xfId="1894"/>
    <cellStyle name="Separador de milhares 5 2 3 5 2" xfId="1895"/>
    <cellStyle name="Separador de milhares 5 2 3 6" xfId="1896"/>
    <cellStyle name="Separador de milhares 5 2 3 7" xfId="1897"/>
    <cellStyle name="Separador de milhares 5 2 4" xfId="1898"/>
    <cellStyle name="Separador de milhares 5 2 4 2" xfId="1899"/>
    <cellStyle name="Separador de milhares 5 2 4 2 2" xfId="1900"/>
    <cellStyle name="Separador de milhares 5 2 4 3" xfId="1901"/>
    <cellStyle name="Separador de milhares 5 2 4 3 2" xfId="1902"/>
    <cellStyle name="Separador de milhares 5 2 4 4" xfId="1903"/>
    <cellStyle name="Separador de milhares 5 2 4 5" xfId="1904"/>
    <cellStyle name="Separador de milhares 5 2 5" xfId="1905"/>
    <cellStyle name="Separador de milhares 5 2 5 2" xfId="1906"/>
    <cellStyle name="Separador de milhares 5 2 5 2 2" xfId="1907"/>
    <cellStyle name="Separador de milhares 5 2 5 3" xfId="1908"/>
    <cellStyle name="Separador de milhares 5 2 5 3 2" xfId="1909"/>
    <cellStyle name="Separador de milhares 5 2 5 4" xfId="1910"/>
    <cellStyle name="Separador de milhares 5 2 5 5" xfId="1911"/>
    <cellStyle name="Separador de milhares 5 2 6" xfId="1912"/>
    <cellStyle name="Separador de milhares 5 2 6 2" xfId="1913"/>
    <cellStyle name="Separador de milhares 5 2 7" xfId="1914"/>
    <cellStyle name="Separador de milhares 5 2 7 2" xfId="1915"/>
    <cellStyle name="Separador de milhares 5 2 8" xfId="1916"/>
    <cellStyle name="Separador de milhares 5 2 9" xfId="1917"/>
    <cellStyle name="Separador de milhares 5 3" xfId="1918"/>
    <cellStyle name="Separador de milhares 5 3 2" xfId="1919"/>
    <cellStyle name="Separador de milhares 5 4" xfId="1920"/>
    <cellStyle name="Separador de milhares 5 4 2" xfId="1921"/>
    <cellStyle name="Separador de milhares 5 5" xfId="1922"/>
    <cellStyle name="Separador de milhares 6" xfId="1923"/>
    <cellStyle name="Separador de milhares 6 2" xfId="1924"/>
    <cellStyle name="Separador de milhares 6 2 2" xfId="1925"/>
    <cellStyle name="Separador de milhares 6 2 2 2" xfId="1926"/>
    <cellStyle name="Separador de milhares 6 2 2 2 2" xfId="1927"/>
    <cellStyle name="Separador de milhares 6 2 2 2 2 2" xfId="1928"/>
    <cellStyle name="Separador de milhares 6 2 2 2 3" xfId="1929"/>
    <cellStyle name="Separador de milhares 6 2 2 2 3 2" xfId="1930"/>
    <cellStyle name="Separador de milhares 6 2 2 2 4" xfId="1931"/>
    <cellStyle name="Separador de milhares 6 2 2 2 5" xfId="1932"/>
    <cellStyle name="Separador de milhares 6 2 2 3" xfId="1933"/>
    <cellStyle name="Separador de milhares 6 2 2 3 2" xfId="1934"/>
    <cellStyle name="Separador de milhares 6 2 2 3 2 2" xfId="1935"/>
    <cellStyle name="Separador de milhares 6 2 2 3 3" xfId="1936"/>
    <cellStyle name="Separador de milhares 6 2 2 3 3 2" xfId="1937"/>
    <cellStyle name="Separador de milhares 6 2 2 3 4" xfId="1938"/>
    <cellStyle name="Separador de milhares 6 2 2 3 5" xfId="1939"/>
    <cellStyle name="Separador de milhares 6 2 2 4" xfId="1940"/>
    <cellStyle name="Separador de milhares 6 2 2 4 2" xfId="1941"/>
    <cellStyle name="Separador de milhares 6 2 2 5" xfId="1942"/>
    <cellStyle name="Separador de milhares 6 2 2 5 2" xfId="1943"/>
    <cellStyle name="Separador de milhares 6 2 2 6" xfId="1944"/>
    <cellStyle name="Separador de milhares 6 2 2 7" xfId="1945"/>
    <cellStyle name="Separador de milhares 6 2 3" xfId="1946"/>
    <cellStyle name="Separador de milhares 6 2 3 2" xfId="1947"/>
    <cellStyle name="Separador de milhares 6 2 3 2 2" xfId="1948"/>
    <cellStyle name="Separador de milhares 6 2 3 3" xfId="1949"/>
    <cellStyle name="Separador de milhares 6 2 3 3 2" xfId="1950"/>
    <cellStyle name="Separador de milhares 6 2 3 4" xfId="1951"/>
    <cellStyle name="Separador de milhares 6 2 3 5" xfId="1952"/>
    <cellStyle name="Separador de milhares 6 2 4" xfId="1953"/>
    <cellStyle name="Separador de milhares 6 2 4 2" xfId="1954"/>
    <cellStyle name="Separador de milhares 6 2 4 2 2" xfId="1955"/>
    <cellStyle name="Separador de milhares 6 2 4 3" xfId="1956"/>
    <cellStyle name="Separador de milhares 6 2 4 3 2" xfId="1957"/>
    <cellStyle name="Separador de milhares 6 2 4 4" xfId="1958"/>
    <cellStyle name="Separador de milhares 6 2 4 5" xfId="1959"/>
    <cellStyle name="Separador de milhares 6 2 5" xfId="1960"/>
    <cellStyle name="Separador de milhares 6 2 5 2" xfId="1961"/>
    <cellStyle name="Separador de milhares 6 2 6" xfId="1962"/>
    <cellStyle name="Separador de milhares 6 2 6 2" xfId="1963"/>
    <cellStyle name="Separador de milhares 6 2 7" xfId="1964"/>
    <cellStyle name="Separador de milhares 6 2 8" xfId="1965"/>
    <cellStyle name="Separador de milhares 6 3" xfId="1966"/>
    <cellStyle name="Separador de milhares 6 3 2" xfId="1967"/>
    <cellStyle name="Separador de milhares 6 3 2 2" xfId="1968"/>
    <cellStyle name="Separador de milhares 6 3 2 2 2" xfId="1969"/>
    <cellStyle name="Separador de milhares 6 3 2 3" xfId="1970"/>
    <cellStyle name="Separador de milhares 6 3 2 3 2" xfId="1971"/>
    <cellStyle name="Separador de milhares 6 3 2 4" xfId="1972"/>
    <cellStyle name="Separador de milhares 6 3 2 5" xfId="1973"/>
    <cellStyle name="Separador de milhares 6 3 3" xfId="1974"/>
    <cellStyle name="Separador de milhares 6 3 3 2" xfId="1975"/>
    <cellStyle name="Separador de milhares 6 3 3 2 2" xfId="1976"/>
    <cellStyle name="Separador de milhares 6 3 3 3" xfId="1977"/>
    <cellStyle name="Separador de milhares 6 3 3 3 2" xfId="1978"/>
    <cellStyle name="Separador de milhares 6 3 3 4" xfId="1979"/>
    <cellStyle name="Separador de milhares 6 3 3 5" xfId="1980"/>
    <cellStyle name="Separador de milhares 6 3 4" xfId="1981"/>
    <cellStyle name="Separador de milhares 6 3 4 2" xfId="1982"/>
    <cellStyle name="Separador de milhares 6 3 5" xfId="1983"/>
    <cellStyle name="Separador de milhares 6 3 5 2" xfId="1984"/>
    <cellStyle name="Separador de milhares 6 3 6" xfId="1985"/>
    <cellStyle name="Separador de milhares 6 3 7" xfId="1986"/>
    <cellStyle name="Separador de milhares 6 4" xfId="1987"/>
    <cellStyle name="Separador de milhares 6 4 2" xfId="1988"/>
    <cellStyle name="Separador de milhares 6 4 2 2" xfId="1989"/>
    <cellStyle name="Separador de milhares 6 4 3" xfId="1990"/>
    <cellStyle name="Separador de milhares 6 4 3 2" xfId="1991"/>
    <cellStyle name="Separador de milhares 6 4 4" xfId="1992"/>
    <cellStyle name="Separador de milhares 6 4 5" xfId="1993"/>
    <cellStyle name="Separador de milhares 6 5" xfId="1994"/>
    <cellStyle name="Separador de milhares 6 5 2" xfId="1995"/>
    <cellStyle name="Separador de milhares 6 5 2 2" xfId="1996"/>
    <cellStyle name="Separador de milhares 6 5 3" xfId="1997"/>
    <cellStyle name="Separador de milhares 6 5 3 2" xfId="1998"/>
    <cellStyle name="Separador de milhares 6 5 4" xfId="1999"/>
    <cellStyle name="Separador de milhares 6 5 5" xfId="2000"/>
    <cellStyle name="Separador de milhares 6 6" xfId="2001"/>
    <cellStyle name="Separador de milhares 6 6 2" xfId="2002"/>
    <cellStyle name="Separador de milhares 6 7" xfId="2003"/>
    <cellStyle name="Separador de milhares 6 7 2" xfId="2004"/>
    <cellStyle name="Separador de milhares 6 8" xfId="2005"/>
    <cellStyle name="Separador de milhares 6 9" xfId="2006"/>
    <cellStyle name="TableStyleLight1" xfId="2007"/>
    <cellStyle name="Texto de Aviso" xfId="2008"/>
    <cellStyle name="Texto de Aviso 2" xfId="2009"/>
    <cellStyle name="Texto de Aviso 2 2" xfId="2010"/>
    <cellStyle name="Texto de Aviso 2 3" xfId="2011"/>
    <cellStyle name="Texto Explicativo" xfId="2012"/>
    <cellStyle name="Texto Explicativo 2" xfId="2013"/>
    <cellStyle name="Texto Explicativo 2 2" xfId="2014"/>
    <cellStyle name="Texto Explicativo 2 3" xfId="2015"/>
    <cellStyle name="Title" xfId="2016"/>
    <cellStyle name="Título" xfId="2017"/>
    <cellStyle name="Título 1" xfId="2018"/>
    <cellStyle name="Título 1 1" xfId="2019"/>
    <cellStyle name="Título 1 2" xfId="2020"/>
    <cellStyle name="Título 1 2 2" xfId="2021"/>
    <cellStyle name="Título 1 2 3" xfId="2022"/>
    <cellStyle name="Título 2" xfId="2023"/>
    <cellStyle name="Título 2 2" xfId="2024"/>
    <cellStyle name="Título 2 2 2" xfId="2025"/>
    <cellStyle name="Título 2 2 3" xfId="2026"/>
    <cellStyle name="Título 3" xfId="2027"/>
    <cellStyle name="Título 3 2" xfId="2028"/>
    <cellStyle name="Título 3 2 2" xfId="2029"/>
    <cellStyle name="Título 3 2 3" xfId="2030"/>
    <cellStyle name="Título 4" xfId="2031"/>
    <cellStyle name="Título 4 2" xfId="2032"/>
    <cellStyle name="Título 4 2 2" xfId="2033"/>
    <cellStyle name="Título 4 2 3" xfId="2034"/>
    <cellStyle name="Título 5" xfId="2035"/>
    <cellStyle name="Título 5 2" xfId="2036"/>
    <cellStyle name="Título 6" xfId="2037"/>
    <cellStyle name="Total" xfId="2038"/>
    <cellStyle name="Total 2" xfId="2039"/>
    <cellStyle name="Total 2 2" xfId="2040"/>
    <cellStyle name="Total 2 3" xfId="2041"/>
    <cellStyle name="Total 3" xfId="2042"/>
    <cellStyle name="Comma" xfId="2043"/>
    <cellStyle name="Vírgula 10" xfId="2044"/>
    <cellStyle name="Vírgula 10 2" xfId="2045"/>
    <cellStyle name="Vírgula 10 2 2" xfId="2046"/>
    <cellStyle name="Vírgula 10 2 2 2" xfId="2047"/>
    <cellStyle name="Vírgula 10 2 3" xfId="2048"/>
    <cellStyle name="Vírgula 10 3" xfId="2049"/>
    <cellStyle name="Vírgula 10 3 2" xfId="2050"/>
    <cellStyle name="Vírgula 10 3 2 2" xfId="2051"/>
    <cellStyle name="Vírgula 10 3 3" xfId="2052"/>
    <cellStyle name="Vírgula 10 4" xfId="2053"/>
    <cellStyle name="Vírgula 10 4 2" xfId="2054"/>
    <cellStyle name="Vírgula 10 5" xfId="2055"/>
    <cellStyle name="Vírgula 10 6" xfId="2056"/>
    <cellStyle name="Vírgula 10 7" xfId="2057"/>
    <cellStyle name="Vírgula 11" xfId="2058"/>
    <cellStyle name="Vírgula 11 2" xfId="2059"/>
    <cellStyle name="Vírgula 11 2 2" xfId="2060"/>
    <cellStyle name="Vírgula 11 3" xfId="2061"/>
    <cellStyle name="Vírgula 11 3 2" xfId="2062"/>
    <cellStyle name="Vírgula 11 4" xfId="2063"/>
    <cellStyle name="Vírgula 11 5" xfId="2064"/>
    <cellStyle name="Vírgula 12" xfId="2065"/>
    <cellStyle name="Vírgula 12 2" xfId="2066"/>
    <cellStyle name="Vírgula 12 2 2" xfId="2067"/>
    <cellStyle name="Vírgula 12 2 2 2" xfId="2068"/>
    <cellStyle name="Vírgula 12 2 2 2 2" xfId="2069"/>
    <cellStyle name="Vírgula 12 2 2 2 2 2" xfId="2070"/>
    <cellStyle name="Vírgula 12 2 2 2 3" xfId="2071"/>
    <cellStyle name="Vírgula 12 2 2 2 3 2" xfId="2072"/>
    <cellStyle name="Vírgula 12 2 2 2 4" xfId="2073"/>
    <cellStyle name="Vírgula 12 2 2 3" xfId="2074"/>
    <cellStyle name="Vírgula 12 2 2 3 2" xfId="2075"/>
    <cellStyle name="Vírgula 12 2 2 3 2 2" xfId="2076"/>
    <cellStyle name="Vírgula 12 2 2 3 3" xfId="2077"/>
    <cellStyle name="Vírgula 12 2 2 3 3 2" xfId="2078"/>
    <cellStyle name="Vírgula 12 2 2 3 4" xfId="2079"/>
    <cellStyle name="Vírgula 12 2 2 4" xfId="2080"/>
    <cellStyle name="Vírgula 12 2 2 4 2" xfId="2081"/>
    <cellStyle name="Vírgula 12 2 2 5" xfId="2082"/>
    <cellStyle name="Vírgula 12 2 2 5 2" xfId="2083"/>
    <cellStyle name="Vírgula 12 2 2 6" xfId="2084"/>
    <cellStyle name="Vírgula 12 3" xfId="2085"/>
    <cellStyle name="Vírgula 12 3 2" xfId="2086"/>
    <cellStyle name="Vírgula 12 3 2 2" xfId="2087"/>
    <cellStyle name="Vírgula 12 3 2 2 2" xfId="2088"/>
    <cellStyle name="Vírgula 12 3 2 3" xfId="2089"/>
    <cellStyle name="Vírgula 12 3 2 3 2" xfId="2090"/>
    <cellStyle name="Vírgula 12 3 2 4" xfId="2091"/>
    <cellStyle name="Vírgula 12 3 3" xfId="2092"/>
    <cellStyle name="Vírgula 12 3 3 2" xfId="2093"/>
    <cellStyle name="Vírgula 12 3 3 2 2" xfId="2094"/>
    <cellStyle name="Vírgula 12 3 3 3" xfId="2095"/>
    <cellStyle name="Vírgula 12 3 3 3 2" xfId="2096"/>
    <cellStyle name="Vírgula 12 3 3 4" xfId="2097"/>
    <cellStyle name="Vírgula 12 3 4" xfId="2098"/>
    <cellStyle name="Vírgula 12 3 4 2" xfId="2099"/>
    <cellStyle name="Vírgula 12 3 5" xfId="2100"/>
    <cellStyle name="Vírgula 12 3 5 2" xfId="2101"/>
    <cellStyle name="Vírgula 12 3 6" xfId="2102"/>
    <cellStyle name="Vírgula 12 4" xfId="2103"/>
    <cellStyle name="Vírgula 13" xfId="2104"/>
    <cellStyle name="Vírgula 13 2" xfId="2105"/>
    <cellStyle name="Vírgula 13 2 2" xfId="2106"/>
    <cellStyle name="Vírgula 13 3" xfId="2107"/>
    <cellStyle name="Vírgula 13 3 2" xfId="2108"/>
    <cellStyle name="Vírgula 13 4" xfId="2109"/>
    <cellStyle name="Vírgula 13 5" xfId="2110"/>
    <cellStyle name="Vírgula 14" xfId="2111"/>
    <cellStyle name="Vírgula 15" xfId="2112"/>
    <cellStyle name="Vírgula 2" xfId="2113"/>
    <cellStyle name="Vírgula 2 2" xfId="2114"/>
    <cellStyle name="Vírgula 2 2 2" xfId="2115"/>
    <cellStyle name="Vírgula 2 2 2 2" xfId="2116"/>
    <cellStyle name="Vírgula 2 2 2 2 2" xfId="2117"/>
    <cellStyle name="Vírgula 2 2 2 2 2 2" xfId="2118"/>
    <cellStyle name="Vírgula 2 2 2 2 3" xfId="2119"/>
    <cellStyle name="Vírgula 2 2 2 2 3 2" xfId="2120"/>
    <cellStyle name="Vírgula 2 2 2 2 4" xfId="2121"/>
    <cellStyle name="Vírgula 2 2 2 3" xfId="2122"/>
    <cellStyle name="Vírgula 2 2 2 3 2" xfId="2123"/>
    <cellStyle name="Vírgula 2 2 2 3 2 2" xfId="2124"/>
    <cellStyle name="Vírgula 2 2 2 3 3" xfId="2125"/>
    <cellStyle name="Vírgula 2 2 2 3 3 2" xfId="2126"/>
    <cellStyle name="Vírgula 2 2 2 3 4" xfId="2127"/>
    <cellStyle name="Vírgula 2 2 2 4" xfId="2128"/>
    <cellStyle name="Vírgula 2 2 2 4 2" xfId="2129"/>
    <cellStyle name="Vírgula 2 2 2 5" xfId="2130"/>
    <cellStyle name="Vírgula 2 2 2 5 2" xfId="2131"/>
    <cellStyle name="Vírgula 2 2 2 6" xfId="2132"/>
    <cellStyle name="Vírgula 2 2 2 7" xfId="2133"/>
    <cellStyle name="Vírgula 2 2 2 8" xfId="2134"/>
    <cellStyle name="Vírgula 2 2 3" xfId="2135"/>
    <cellStyle name="Vírgula 2 2 3 2" xfId="2136"/>
    <cellStyle name="Vírgula 2 2 3 2 2" xfId="2137"/>
    <cellStyle name="Vírgula 2 2 3 2 2 2" xfId="2138"/>
    <cellStyle name="Vírgula 2 2 3 2 2 2 2" xfId="2139"/>
    <cellStyle name="Vírgula 2 2 3 2 2 3" xfId="2140"/>
    <cellStyle name="Vírgula 2 2 3 2 2 3 2" xfId="2141"/>
    <cellStyle name="Vírgula 2 2 3 2 2 4" xfId="2142"/>
    <cellStyle name="Vírgula 2 2 3 2 2 5" xfId="2143"/>
    <cellStyle name="Vírgula 2 2 3 2 3" xfId="2144"/>
    <cellStyle name="Vírgula 2 2 3 2 3 2" xfId="2145"/>
    <cellStyle name="Vírgula 2 2 3 2 4" xfId="2146"/>
    <cellStyle name="Vírgula 2 2 3 2 4 2" xfId="2147"/>
    <cellStyle name="Vírgula 2 2 3 2 5" xfId="2148"/>
    <cellStyle name="Vírgula 2 2 3 2 6" xfId="2149"/>
    <cellStyle name="Vírgula 2 2 3 3" xfId="2150"/>
    <cellStyle name="Vírgula 2 2 3 3 2" xfId="2151"/>
    <cellStyle name="Vírgula 2 2 3 3 2 2" xfId="2152"/>
    <cellStyle name="Vírgula 2 2 3 3 3" xfId="2153"/>
    <cellStyle name="Vírgula 2 2 3 3 3 2" xfId="2154"/>
    <cellStyle name="Vírgula 2 2 3 3 4" xfId="2155"/>
    <cellStyle name="Vírgula 2 2 3 3 5" xfId="2156"/>
    <cellStyle name="Vírgula 2 2 3 4" xfId="2157"/>
    <cellStyle name="Vírgula 2 2 3 4 2" xfId="2158"/>
    <cellStyle name="Vírgula 2 2 3 4 2 2" xfId="2159"/>
    <cellStyle name="Vírgula 2 2 3 4 3" xfId="2160"/>
    <cellStyle name="Vírgula 2 2 3 4 3 2" xfId="2161"/>
    <cellStyle name="Vírgula 2 2 3 4 4" xfId="2162"/>
    <cellStyle name="Vírgula 2 2 3 4 5" xfId="2163"/>
    <cellStyle name="Vírgula 2 2 3 5" xfId="2164"/>
    <cellStyle name="Vírgula 2 2 3 5 2" xfId="2165"/>
    <cellStyle name="Vírgula 2 2 3 6" xfId="2166"/>
    <cellStyle name="Vírgula 2 2 3 6 2" xfId="2167"/>
    <cellStyle name="Vírgula 2 2 3 7" xfId="2168"/>
    <cellStyle name="Vírgula 2 2 3 8" xfId="2169"/>
    <cellStyle name="Vírgula 2 2 3 9" xfId="2170"/>
    <cellStyle name="Vírgula 2 2 4" xfId="2171"/>
    <cellStyle name="Vírgula 2 2 4 2" xfId="2172"/>
    <cellStyle name="Vírgula 2 2 4 2 2" xfId="2173"/>
    <cellStyle name="Vírgula 2 2 4 3" xfId="2174"/>
    <cellStyle name="Vírgula 2 2 4 3 2" xfId="2175"/>
    <cellStyle name="Vírgula 2 2 4 4" xfId="2176"/>
    <cellStyle name="Vírgula 2 2 4 5" xfId="2177"/>
    <cellStyle name="Vírgula 2 2 5" xfId="2178"/>
    <cellStyle name="Vírgula 2 2 5 2" xfId="2179"/>
    <cellStyle name="Vírgula 2 2 6" xfId="2180"/>
    <cellStyle name="Vírgula 2 2 6 2" xfId="2181"/>
    <cellStyle name="Vírgula 2 2 7" xfId="2182"/>
    <cellStyle name="Vírgula 2 2 8" xfId="2183"/>
    <cellStyle name="Vírgula 2 3" xfId="2184"/>
    <cellStyle name="Vírgula 2 3 2" xfId="2185"/>
    <cellStyle name="Vírgula 2 3 2 2" xfId="2186"/>
    <cellStyle name="Vírgula 2 3 2 2 2" xfId="2187"/>
    <cellStyle name="Vírgula 2 3 2 2 2 2" xfId="2188"/>
    <cellStyle name="Vírgula 2 3 2 2 3" xfId="2189"/>
    <cellStyle name="Vírgula 2 3 2 2 3 2" xfId="2190"/>
    <cellStyle name="Vírgula 2 3 2 2 4" xfId="2191"/>
    <cellStyle name="Vírgula 2 3 2 2 5" xfId="2192"/>
    <cellStyle name="Vírgula 2 3 2 3" xfId="2193"/>
    <cellStyle name="Vírgula 2 3 2 3 2" xfId="2194"/>
    <cellStyle name="Vírgula 2 3 2 3 2 2" xfId="2195"/>
    <cellStyle name="Vírgula 2 3 2 3 3" xfId="2196"/>
    <cellStyle name="Vírgula 2 3 2 3 3 2" xfId="2197"/>
    <cellStyle name="Vírgula 2 3 2 3 4" xfId="2198"/>
    <cellStyle name="Vírgula 2 3 2 3 5" xfId="2199"/>
    <cellStyle name="Vírgula 2 3 2 4" xfId="2200"/>
    <cellStyle name="Vírgula 2 3 2 4 2" xfId="2201"/>
    <cellStyle name="Vírgula 2 3 2 5" xfId="2202"/>
    <cellStyle name="Vírgula 2 3 2 5 2" xfId="2203"/>
    <cellStyle name="Vírgula 2 3 2 6" xfId="2204"/>
    <cellStyle name="Vírgula 2 3 2 7" xfId="2205"/>
    <cellStyle name="Vírgula 2 3 2 8" xfId="2206"/>
    <cellStyle name="Vírgula 2 3 3" xfId="2207"/>
    <cellStyle name="Vírgula 2 3 3 2" xfId="2208"/>
    <cellStyle name="Vírgula 2 3 3 2 2" xfId="2209"/>
    <cellStyle name="Vírgula 2 3 3 2 2 2" xfId="2210"/>
    <cellStyle name="Vírgula 2 3 3 2 3" xfId="2211"/>
    <cellStyle name="Vírgula 2 3 3 2 3 2" xfId="2212"/>
    <cellStyle name="Vírgula 2 3 3 2 4" xfId="2213"/>
    <cellStyle name="Vírgula 2 3 3 2 5" xfId="2214"/>
    <cellStyle name="Vírgula 2 3 3 3" xfId="2215"/>
    <cellStyle name="Vírgula 2 3 3 3 2" xfId="2216"/>
    <cellStyle name="Vírgula 2 3 3 3 2 2" xfId="2217"/>
    <cellStyle name="Vírgula 2 3 3 3 3" xfId="2218"/>
    <cellStyle name="Vírgula 2 3 3 3 3 2" xfId="2219"/>
    <cellStyle name="Vírgula 2 3 3 3 4" xfId="2220"/>
    <cellStyle name="Vírgula 2 3 3 3 5" xfId="2221"/>
    <cellStyle name="Vírgula 2 3 3 4" xfId="2222"/>
    <cellStyle name="Vírgula 2 3 3 4 2" xfId="2223"/>
    <cellStyle name="Vírgula 2 3 3 5" xfId="2224"/>
    <cellStyle name="Vírgula 2 3 3 5 2" xfId="2225"/>
    <cellStyle name="Vírgula 2 3 3 6" xfId="2226"/>
    <cellStyle name="Vírgula 2 3 3 7" xfId="2227"/>
    <cellStyle name="Vírgula 2 3 4" xfId="2228"/>
    <cellStyle name="Vírgula 2 3 4 2" xfId="2229"/>
    <cellStyle name="Vírgula 2 3 5" xfId="2230"/>
    <cellStyle name="Vírgula 2 3 5 2" xfId="2231"/>
    <cellStyle name="Vírgula 2 3 6" xfId="2232"/>
    <cellStyle name="Vírgula 2 3 7" xfId="2233"/>
    <cellStyle name="Vírgula 2 4" xfId="2234"/>
    <cellStyle name="Vírgula 2 4 2" xfId="2235"/>
    <cellStyle name="Vírgula 2 4 2 2" xfId="2236"/>
    <cellStyle name="Vírgula 2 4 3" xfId="2237"/>
    <cellStyle name="Vírgula 2 4 3 2" xfId="2238"/>
    <cellStyle name="Vírgula 2 4 4" xfId="2239"/>
    <cellStyle name="Vírgula 2 4 5" xfId="2240"/>
    <cellStyle name="Vírgula 2 4 6" xfId="2241"/>
    <cellStyle name="Vírgula 2 5" xfId="2242"/>
    <cellStyle name="Vírgula 2 5 2" xfId="2243"/>
    <cellStyle name="Vírgula 2 5 2 2" xfId="2244"/>
    <cellStyle name="Vírgula 2 5 3" xfId="2245"/>
    <cellStyle name="Vírgula 2 5 3 2" xfId="2246"/>
    <cellStyle name="Vírgula 2 5 4" xfId="2247"/>
    <cellStyle name="Vírgula 2 5 5" xfId="2248"/>
    <cellStyle name="Vírgula 2 5 6" xfId="2249"/>
    <cellStyle name="Vírgula 2 6" xfId="2250"/>
    <cellStyle name="Vírgula 2 7" xfId="2251"/>
    <cellStyle name="Vírgula 3" xfId="2252"/>
    <cellStyle name="Vírgula 3 2" xfId="2253"/>
    <cellStyle name="Vírgula 3 2 2" xfId="2254"/>
    <cellStyle name="Vírgula 3 2 2 10" xfId="2255"/>
    <cellStyle name="Vírgula 3 2 2 10 2" xfId="2256"/>
    <cellStyle name="Vírgula 3 2 2 10 2 2" xfId="2257"/>
    <cellStyle name="Vírgula 3 2 2 2" xfId="2258"/>
    <cellStyle name="Vírgula 3 2 2 2 2" xfId="2259"/>
    <cellStyle name="Vírgula 3 2 2 2 2 2" xfId="2260"/>
    <cellStyle name="Vírgula 3 2 2 2 2 3" xfId="2261"/>
    <cellStyle name="Vírgula 3 2 2 2 3" xfId="2262"/>
    <cellStyle name="Vírgula 3 2 2 2 3 2" xfId="2263"/>
    <cellStyle name="Vírgula 3 2 2 2 4" xfId="2264"/>
    <cellStyle name="Vírgula 3 2 2 2 5" xfId="2265"/>
    <cellStyle name="Vírgula 3 2 2 3" xfId="2266"/>
    <cellStyle name="Vírgula 3 2 2 3 2" xfId="2267"/>
    <cellStyle name="Vírgula 3 2 2 3 2 2" xfId="2268"/>
    <cellStyle name="Vírgula 3 2 2 3 2 3" xfId="2269"/>
    <cellStyle name="Vírgula 3 2 2 3 3" xfId="2270"/>
    <cellStyle name="Vírgula 3 2 2 3 3 2" xfId="2271"/>
    <cellStyle name="Vírgula 3 2 2 3 4" xfId="2272"/>
    <cellStyle name="Vírgula 3 2 2 3 5" xfId="2273"/>
    <cellStyle name="Vírgula 3 2 2 4" xfId="2274"/>
    <cellStyle name="Vírgula 3 2 2 4 2" xfId="2275"/>
    <cellStyle name="Vírgula 3 2 2 4 2 2" xfId="2276"/>
    <cellStyle name="Vírgula 3 2 2 4 3" xfId="2277"/>
    <cellStyle name="Vírgula 3 2 2 4 3 2" xfId="2278"/>
    <cellStyle name="Vírgula 3 2 2 4 4" xfId="2279"/>
    <cellStyle name="Vírgula 3 2 2 4 5" xfId="2280"/>
    <cellStyle name="Vírgula 3 2 2 5" xfId="2281"/>
    <cellStyle name="Vírgula 3 2 2 5 2" xfId="2282"/>
    <cellStyle name="Vírgula 3 2 2 5 3" xfId="2283"/>
    <cellStyle name="Vírgula 3 2 2 6" xfId="2284"/>
    <cellStyle name="Vírgula 3 2 2 6 2" xfId="2285"/>
    <cellStyle name="Vírgula 3 2 2 6 3" xfId="2286"/>
    <cellStyle name="Vírgula 3 2 2 7" xfId="2287"/>
    <cellStyle name="Vírgula 3 2 3" xfId="2288"/>
    <cellStyle name="Vírgula 3 2 3 2" xfId="2289"/>
    <cellStyle name="Vírgula 3 2 3 2 2" xfId="2290"/>
    <cellStyle name="Vírgula 3 2 3 3" xfId="2291"/>
    <cellStyle name="Vírgula 3 2 3 3 2" xfId="2292"/>
    <cellStyle name="Vírgula 3 2 3 4" xfId="2293"/>
    <cellStyle name="Vírgula 3 2 3 5" xfId="2294"/>
    <cellStyle name="Vírgula 3 2 4" xfId="2295"/>
    <cellStyle name="Vírgula 3 2 4 2" xfId="2296"/>
    <cellStyle name="Vírgula 3 2 4 2 2" xfId="2297"/>
    <cellStyle name="Vírgula 3 2 4 3" xfId="2298"/>
    <cellStyle name="Vírgula 3 2 4 3 2" xfId="2299"/>
    <cellStyle name="Vírgula 3 2 4 4" xfId="2300"/>
    <cellStyle name="Vírgula 3 2 4 5" xfId="2301"/>
    <cellStyle name="Vírgula 3 2 5" xfId="2302"/>
    <cellStyle name="Vírgula 3 2 5 2" xfId="2303"/>
    <cellStyle name="Vírgula 3 2 5 2 2" xfId="2304"/>
    <cellStyle name="Vírgula 3 2 5 3" xfId="2305"/>
    <cellStyle name="Vírgula 3 2 5 3 2" xfId="2306"/>
    <cellStyle name="Vírgula 3 2 5 4" xfId="2307"/>
    <cellStyle name="Vírgula 3 2 5 5" xfId="2308"/>
    <cellStyle name="Vírgula 3 2 6" xfId="2309"/>
    <cellStyle name="Vírgula 3 2 6 2" xfId="2310"/>
    <cellStyle name="Vírgula 3 2 7" xfId="2311"/>
    <cellStyle name="Vírgula 3 2 7 2" xfId="2312"/>
    <cellStyle name="Vírgula 3 2 8" xfId="2313"/>
    <cellStyle name="Vírgula 3 2 9" xfId="2314"/>
    <cellStyle name="Vírgula 3 3" xfId="2315"/>
    <cellStyle name="Vírgula 3 3 2" xfId="2316"/>
    <cellStyle name="Vírgula 3 3 2 2" xfId="2317"/>
    <cellStyle name="Vírgula 3 3 2 2 2" xfId="2318"/>
    <cellStyle name="Vírgula 3 3 2 3" xfId="2319"/>
    <cellStyle name="Vírgula 3 3 2 3 2" xfId="2320"/>
    <cellStyle name="Vírgula 3 3 2 4" xfId="2321"/>
    <cellStyle name="Vírgula 3 3 2 5" xfId="2322"/>
    <cellStyle name="Vírgula 3 3 3" xfId="2323"/>
    <cellStyle name="Vírgula 3 3 3 2" xfId="2324"/>
    <cellStyle name="Vírgula 3 3 4" xfId="2325"/>
    <cellStyle name="Vírgula 3 3 4 2" xfId="2326"/>
    <cellStyle name="Vírgula 3 3 5" xfId="2327"/>
    <cellStyle name="Vírgula 3 3 6" xfId="2328"/>
    <cellStyle name="Vírgula 3 4" xfId="2329"/>
    <cellStyle name="Vírgula 3 4 2" xfId="2330"/>
    <cellStyle name="Vírgula 3 4 2 2" xfId="2331"/>
    <cellStyle name="Vírgula 3 4 3" xfId="2332"/>
    <cellStyle name="Vírgula 3 4 3 2" xfId="2333"/>
    <cellStyle name="Vírgula 3 4 4" xfId="2334"/>
    <cellStyle name="Vírgula 3 4 5" xfId="2335"/>
    <cellStyle name="Vírgula 3 5" xfId="2336"/>
    <cellStyle name="Vírgula 3 5 2" xfId="2337"/>
    <cellStyle name="Vírgula 3 6" xfId="2338"/>
    <cellStyle name="Vírgula 3 6 2" xfId="2339"/>
    <cellStyle name="Vírgula 3 7" xfId="2340"/>
    <cellStyle name="Vírgula 4" xfId="2341"/>
    <cellStyle name="Vírgula 4 2" xfId="2342"/>
    <cellStyle name="Vírgula 4 2 2" xfId="2343"/>
    <cellStyle name="Vírgula 4 2 2 2" xfId="2344"/>
    <cellStyle name="Vírgula 4 2 2 2 2" xfId="2345"/>
    <cellStyle name="Vírgula 4 2 2 2 2 2" xfId="2346"/>
    <cellStyle name="Vírgula 4 2 2 2 3" xfId="2347"/>
    <cellStyle name="Vírgula 4 2 2 2 3 2" xfId="2348"/>
    <cellStyle name="Vírgula 4 2 2 2 4" xfId="2349"/>
    <cellStyle name="Vírgula 4 2 2 2 5" xfId="2350"/>
    <cellStyle name="Vírgula 4 2 2 3" xfId="2351"/>
    <cellStyle name="Vírgula 4 2 2 3 2" xfId="2352"/>
    <cellStyle name="Vírgula 4 2 2 3 2 2" xfId="2353"/>
    <cellStyle name="Vírgula 4 2 2 3 3" xfId="2354"/>
    <cellStyle name="Vírgula 4 2 2 3 3 2" xfId="2355"/>
    <cellStyle name="Vírgula 4 2 2 3 4" xfId="2356"/>
    <cellStyle name="Vírgula 4 2 2 4" xfId="2357"/>
    <cellStyle name="Vírgula 4 2 2 4 2" xfId="2358"/>
    <cellStyle name="Vírgula 4 2 2 5" xfId="2359"/>
    <cellStyle name="Vírgula 4 2 2 5 2" xfId="2360"/>
    <cellStyle name="Vírgula 4 2 2 6" xfId="2361"/>
    <cellStyle name="Vírgula 4 2 2 7" xfId="2362"/>
    <cellStyle name="Vírgula 4 2 3" xfId="2363"/>
    <cellStyle name="Vírgula 4 2 3 2" xfId="2364"/>
    <cellStyle name="Vírgula 4 2 4" xfId="2365"/>
    <cellStyle name="Vírgula 4 2 4 2" xfId="2366"/>
    <cellStyle name="Vírgula 4 2 5" xfId="2367"/>
    <cellStyle name="Vírgula 4 3" xfId="2368"/>
    <cellStyle name="Vírgula 4 3 2" xfId="2369"/>
    <cellStyle name="Vírgula 4 3 2 2" xfId="2370"/>
    <cellStyle name="Vírgula 4 3 2 2 2" xfId="2371"/>
    <cellStyle name="Vírgula 4 3 2 3" xfId="2372"/>
    <cellStyle name="Vírgula 4 3 2 3 2" xfId="2373"/>
    <cellStyle name="Vírgula 4 3 2 4" xfId="2374"/>
    <cellStyle name="Vírgula 4 3 2 5" xfId="2375"/>
    <cellStyle name="Vírgula 4 3 3" xfId="2376"/>
    <cellStyle name="Vírgula 4 3 3 2" xfId="2377"/>
    <cellStyle name="Vírgula 4 3 3 2 2" xfId="2378"/>
    <cellStyle name="Vírgula 4 3 3 3" xfId="2379"/>
    <cellStyle name="Vírgula 4 3 3 3 2" xfId="2380"/>
    <cellStyle name="Vírgula 4 3 3 4" xfId="2381"/>
    <cellStyle name="Vírgula 4 3 3 5" xfId="2382"/>
    <cellStyle name="Vírgula 4 3 4" xfId="2383"/>
    <cellStyle name="Vírgula 4 3 4 2" xfId="2384"/>
    <cellStyle name="Vírgula 4 3 4 2 2" xfId="2385"/>
    <cellStyle name="Vírgula 4 3 4 3" xfId="2386"/>
    <cellStyle name="Vírgula 4 3 4 3 2" xfId="2387"/>
    <cellStyle name="Vírgula 4 3 4 4" xfId="2388"/>
    <cellStyle name="Vírgula 4 3 5" xfId="2389"/>
    <cellStyle name="Vírgula 4 3 5 2" xfId="2390"/>
    <cellStyle name="Vírgula 4 3 6" xfId="2391"/>
    <cellStyle name="Vírgula 4 3 6 2" xfId="2392"/>
    <cellStyle name="Vírgula 4 3 7" xfId="2393"/>
    <cellStyle name="Vírgula 4 3 8" xfId="2394"/>
    <cellStyle name="Vírgula 4 4" xfId="2395"/>
    <cellStyle name="Vírgula 4 4 2" xfId="2396"/>
    <cellStyle name="Vírgula 4 5" xfId="2397"/>
    <cellStyle name="Vírgula 4 5 2" xfId="2398"/>
    <cellStyle name="Vírgula 4 6" xfId="2399"/>
    <cellStyle name="Vírgula 4 7" xfId="2400"/>
    <cellStyle name="Vírgula 5" xfId="2401"/>
    <cellStyle name="Vírgula 5 2" xfId="2402"/>
    <cellStyle name="Vírgula 5 2 2" xfId="2403"/>
    <cellStyle name="Vírgula 5 2 2 2" xfId="2404"/>
    <cellStyle name="Vírgula 5 2 2 2 2" xfId="2405"/>
    <cellStyle name="Vírgula 5 2 2 3" xfId="2406"/>
    <cellStyle name="Vírgula 5 2 2 3 2" xfId="2407"/>
    <cellStyle name="Vírgula 5 2 2 4" xfId="2408"/>
    <cellStyle name="Vírgula 5 2 2 5" xfId="2409"/>
    <cellStyle name="Vírgula 5 2 3" xfId="2410"/>
    <cellStyle name="Vírgula 5 2 3 2" xfId="2411"/>
    <cellStyle name="Vírgula 5 2 4" xfId="2412"/>
    <cellStyle name="Vírgula 5 2 4 2" xfId="2413"/>
    <cellStyle name="Vírgula 5 2 5" xfId="2414"/>
    <cellStyle name="Vírgula 5 2 6" xfId="2415"/>
    <cellStyle name="Vírgula 5 3" xfId="2416"/>
    <cellStyle name="Vírgula 5 3 2" xfId="2417"/>
    <cellStyle name="Vírgula 5 3 2 2" xfId="2418"/>
    <cellStyle name="Vírgula 5 3 3" xfId="2419"/>
    <cellStyle name="Vírgula 5 3 3 2" xfId="2420"/>
    <cellStyle name="Vírgula 5 3 4" xfId="2421"/>
    <cellStyle name="Vírgula 5 3 5" xfId="2422"/>
    <cellStyle name="Vírgula 5 4" xfId="2423"/>
    <cellStyle name="Vírgula 5 4 2" xfId="2424"/>
    <cellStyle name="Vírgula 5 5" xfId="2425"/>
    <cellStyle name="Vírgula 5 5 2" xfId="2426"/>
    <cellStyle name="Vírgula 5 6" xfId="2427"/>
    <cellStyle name="Vírgula 6" xfId="2428"/>
    <cellStyle name="Vírgula 6 2" xfId="2429"/>
    <cellStyle name="Vírgula 6 2 2" xfId="2430"/>
    <cellStyle name="Vírgula 6 2 2 2" xfId="2431"/>
    <cellStyle name="Vírgula 6 2 2 2 2" xfId="2432"/>
    <cellStyle name="Vírgula 6 2 2 3" xfId="2433"/>
    <cellStyle name="Vírgula 6 2 2 3 2" xfId="2434"/>
    <cellStyle name="Vírgula 6 2 2 4" xfId="2435"/>
    <cellStyle name="Vírgula 6 2 3" xfId="2436"/>
    <cellStyle name="Vírgula 6 2 3 2" xfId="2437"/>
    <cellStyle name="Vírgula 6 2 4" xfId="2438"/>
    <cellStyle name="Vírgula 6 2 4 2" xfId="2439"/>
    <cellStyle name="Vírgula 6 2 5" xfId="2440"/>
    <cellStyle name="Vírgula 6 2 6" xfId="2441"/>
    <cellStyle name="Vírgula 6 2 7" xfId="2442"/>
    <cellStyle name="Vírgula 6 3" xfId="2443"/>
    <cellStyle name="Vírgula 6 3 2" xfId="2444"/>
    <cellStyle name="Vírgula 6 3 2 2" xfId="2445"/>
    <cellStyle name="Vírgula 6 3 3" xfId="2446"/>
    <cellStyle name="Vírgula 6 3 3 2" xfId="2447"/>
    <cellStyle name="Vírgula 6 3 4" xfId="2448"/>
    <cellStyle name="Vírgula 6 3 5" xfId="2449"/>
    <cellStyle name="Vírgula 6 4" xfId="2450"/>
    <cellStyle name="Vírgula 6 4 2" xfId="2451"/>
    <cellStyle name="Vírgula 6 4 2 2" xfId="2452"/>
    <cellStyle name="Vírgula 6 4 3" xfId="2453"/>
    <cellStyle name="Vírgula 6 4 3 2" xfId="2454"/>
    <cellStyle name="Vírgula 6 4 4" xfId="2455"/>
    <cellStyle name="Vírgula 6 5" xfId="2456"/>
    <cellStyle name="Vírgula 6 5 2" xfId="2457"/>
    <cellStyle name="Vírgula 6 6" xfId="2458"/>
    <cellStyle name="Vírgula 6 6 2" xfId="2459"/>
    <cellStyle name="Vírgula 6 7" xfId="2460"/>
    <cellStyle name="Vírgula 6 8" xfId="2461"/>
    <cellStyle name="Vírgula 7" xfId="2462"/>
    <cellStyle name="Vírgula 7 2" xfId="2463"/>
    <cellStyle name="Vírgula 7 2 2" xfId="2464"/>
    <cellStyle name="Vírgula 7 2 2 2" xfId="2465"/>
    <cellStyle name="Vírgula 7 2 3" xfId="2466"/>
    <cellStyle name="Vírgula 7 2 3 2" xfId="2467"/>
    <cellStyle name="Vírgula 7 2 4" xfId="2468"/>
    <cellStyle name="Vírgula 7 2 5" xfId="2469"/>
    <cellStyle name="Vírgula 7 3" xfId="2470"/>
    <cellStyle name="Vírgula 7 3 2" xfId="2471"/>
    <cellStyle name="Vírgula 7 3 2 2" xfId="2472"/>
    <cellStyle name="Vírgula 7 3 3" xfId="2473"/>
    <cellStyle name="Vírgula 7 3 3 2" xfId="2474"/>
    <cellStyle name="Vírgula 7 3 4" xfId="2475"/>
    <cellStyle name="Vírgula 7 3 5" xfId="2476"/>
    <cellStyle name="Vírgula 7 4" xfId="2477"/>
    <cellStyle name="Vírgula 7 4 2" xfId="2478"/>
    <cellStyle name="Vírgula 7 4 2 2" xfId="2479"/>
    <cellStyle name="Vírgula 7 4 3" xfId="2480"/>
    <cellStyle name="Vírgula 7 4 3 2" xfId="2481"/>
    <cellStyle name="Vírgula 7 4 4" xfId="2482"/>
    <cellStyle name="Vírgula 7 5" xfId="2483"/>
    <cellStyle name="Vírgula 7 5 2" xfId="2484"/>
    <cellStyle name="Vírgula 7 6" xfId="2485"/>
    <cellStyle name="Vírgula 7 6 2" xfId="2486"/>
    <cellStyle name="Vírgula 7 7" xfId="2487"/>
    <cellStyle name="Vírgula 7 8" xfId="2488"/>
    <cellStyle name="Vírgula 8" xfId="2489"/>
    <cellStyle name="Vírgula 8 2" xfId="2490"/>
    <cellStyle name="Vírgula 8 2 2" xfId="2491"/>
    <cellStyle name="Vírgula 8 2 2 2" xfId="2492"/>
    <cellStyle name="Vírgula 8 2 3" xfId="2493"/>
    <cellStyle name="Vírgula 8 2 3 2" xfId="2494"/>
    <cellStyle name="Vírgula 8 2 4" xfId="2495"/>
    <cellStyle name="Vírgula 8 2 5" xfId="2496"/>
    <cellStyle name="Vírgula 8 3" xfId="2497"/>
    <cellStyle name="Vírgula 8 3 2" xfId="2498"/>
    <cellStyle name="Vírgula 8 4" xfId="2499"/>
    <cellStyle name="Vírgula 8 4 2" xfId="2500"/>
    <cellStyle name="Vírgula 8 5" xfId="2501"/>
    <cellStyle name="Vírgula 8 6" xfId="2502"/>
    <cellStyle name="Vírgula 9" xfId="2503"/>
    <cellStyle name="Vírgula 9 2" xfId="2504"/>
    <cellStyle name="Vírgula 9 2 2" xfId="2505"/>
    <cellStyle name="Vírgula 9 3" xfId="2506"/>
    <cellStyle name="Vírgula 9 3 2" xfId="2507"/>
    <cellStyle name="Vírgula 9 4" xfId="2508"/>
    <cellStyle name="Vírgula 9 5" xfId="2509"/>
    <cellStyle name="Warning Text" xfId="25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9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5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6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7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1.png" /><Relationship Id="rId3" Type="http://schemas.openxmlformats.org/officeDocument/2006/relationships/image" Target="../media/image2.jpeg" /><Relationship Id="rId4" Type="http://schemas.openxmlformats.org/officeDocument/2006/relationships/image" Target="../media/image7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466725</xdr:colOff>
      <xdr:row>0</xdr:row>
      <xdr:rowOff>200025</xdr:rowOff>
    </xdr:from>
    <xdr:to>
      <xdr:col>4</xdr:col>
      <xdr:colOff>1428750</xdr:colOff>
      <xdr:row>3</xdr:row>
      <xdr:rowOff>0</xdr:rowOff>
    </xdr:to>
    <xdr:pic>
      <xdr:nvPicPr>
        <xdr:cNvPr id="1" name="Image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00025"/>
          <a:ext cx="3276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0</xdr:row>
      <xdr:rowOff>190500</xdr:rowOff>
    </xdr:from>
    <xdr:to>
      <xdr:col>2</xdr:col>
      <xdr:colOff>85725</xdr:colOff>
      <xdr:row>3</xdr:row>
      <xdr:rowOff>57150</xdr:rowOff>
    </xdr:to>
    <xdr:pic>
      <xdr:nvPicPr>
        <xdr:cNvPr id="2" name="Imagem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190500"/>
          <a:ext cx="1276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781050</xdr:colOff>
      <xdr:row>38</xdr:row>
      <xdr:rowOff>57150</xdr:rowOff>
    </xdr:from>
    <xdr:to>
      <xdr:col>2</xdr:col>
      <xdr:colOff>1257300</xdr:colOff>
      <xdr:row>39</xdr:row>
      <xdr:rowOff>200025</xdr:rowOff>
    </xdr:to>
    <xdr:pic>
      <xdr:nvPicPr>
        <xdr:cNvPr id="3" name="Imagem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71700" y="941070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28</xdr:row>
      <xdr:rowOff>0</xdr:rowOff>
    </xdr:from>
    <xdr:to>
      <xdr:col>3</xdr:col>
      <xdr:colOff>981075</xdr:colOff>
      <xdr:row>29</xdr:row>
      <xdr:rowOff>133350</xdr:rowOff>
    </xdr:to>
    <xdr:pic>
      <xdr:nvPicPr>
        <xdr:cNvPr id="4" name="Imagem 9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390650" y="6305550"/>
          <a:ext cx="22574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0</xdr:rowOff>
    </xdr:from>
    <xdr:to>
      <xdr:col>8</xdr:col>
      <xdr:colOff>438150</xdr:colOff>
      <xdr:row>37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2400" y="161925"/>
          <a:ext cx="4552950" cy="5934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UNB - UNIVERSIDADE DE BRASÍLIA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UNIDADE VINCULADA AO SERVIÇO.: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SANITÁRIOS ICC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Nº DA OS / OFB: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OS 12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NOME DO PROJETO: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REFORMA DOS SANITÁRIOS ICC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VERSÃO: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R07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PRAZO DE CONCLUSÃO OBRA: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60 DIAS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DECLARAÇÃO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
</a:t>
          </a:r>
          <a:r>
            <a:rPr lang="en-US" cap="none" sz="12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Na condição de Responsável Técnico pelo orçamento declaro para os devidos fins, que os quantitativos constantes na planilha orçamentária estão compatíveis com o referido projeto da obra acima referenciada e que os custos unitários de insumos e serviços são iguais ou menores que a mediana de seus correspondentes no Sistema Nacional de Pesquisa de Custos e Índices da Construção Civil  (SINAPI), em atendimento aos dispositivos do artigo 127 da lei nº 12.309, de 9 de agosto de 2010.
</a:t>
          </a:r>
          <a:r>
            <a:rPr lang="en-US" cap="none" sz="12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1" u="none" baseline="0">
              <a:solidFill>
                <a:srgbClr val="FF0000"/>
              </a:solidFill>
              <a:latin typeface="Arial Narrow"/>
              <a:ea typeface="Arial Narrow"/>
              <a:cs typeface="Arial Narrow"/>
            </a:rPr>
            <a:t>Porto Alegre,  25 de Maio de 2018.
</a:t>
          </a:r>
          <a:r>
            <a:rPr lang="en-US" cap="none" sz="12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____________________________________
</a:t>
          </a:r>
          <a:r>
            <a:rPr lang="en-US" cap="none" sz="12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Arq. Diego Schmidt
</a:t>
          </a:r>
          <a:r>
            <a:rPr lang="en-US" cap="none" sz="12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CAU/BR A38704-5</a:t>
          </a:r>
        </a:p>
      </xdr:txBody>
    </xdr:sp>
    <xdr:clientData/>
  </xdr:twoCellAnchor>
  <xdr:twoCellAnchor editAs="oneCell">
    <xdr:from>
      <xdr:col>2</xdr:col>
      <xdr:colOff>447675</xdr:colOff>
      <xdr:row>1</xdr:row>
      <xdr:rowOff>114300</xdr:rowOff>
    </xdr:from>
    <xdr:to>
      <xdr:col>8</xdr:col>
      <xdr:colOff>409575</xdr:colOff>
      <xdr:row>4</xdr:row>
      <xdr:rowOff>114300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276225"/>
          <a:ext cx="31623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2</xdr:row>
      <xdr:rowOff>28575</xdr:rowOff>
    </xdr:from>
    <xdr:to>
      <xdr:col>2</xdr:col>
      <xdr:colOff>209550</xdr:colOff>
      <xdr:row>4</xdr:row>
      <xdr:rowOff>95250</xdr:rowOff>
    </xdr:to>
    <xdr:pic>
      <xdr:nvPicPr>
        <xdr:cNvPr id="3" name="Image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352425"/>
          <a:ext cx="10382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27</xdr:row>
      <xdr:rowOff>142875</xdr:rowOff>
    </xdr:from>
    <xdr:to>
      <xdr:col>5</xdr:col>
      <xdr:colOff>161925</xdr:colOff>
      <xdr:row>30</xdr:row>
      <xdr:rowOff>19050</xdr:rowOff>
    </xdr:to>
    <xdr:pic>
      <xdr:nvPicPr>
        <xdr:cNvPr id="4" name="Imagem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00275" y="45148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2085975</xdr:colOff>
      <xdr:row>0</xdr:row>
      <xdr:rowOff>47625</xdr:rowOff>
    </xdr:from>
    <xdr:to>
      <xdr:col>4</xdr:col>
      <xdr:colOff>581025</xdr:colOff>
      <xdr:row>3</xdr:row>
      <xdr:rowOff>161925</xdr:rowOff>
    </xdr:to>
    <xdr:pic>
      <xdr:nvPicPr>
        <xdr:cNvPr id="1" name="Imagem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47625"/>
          <a:ext cx="38385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76200</xdr:rowOff>
    </xdr:from>
    <xdr:to>
      <xdr:col>2</xdr:col>
      <xdr:colOff>1238250</xdr:colOff>
      <xdr:row>3</xdr:row>
      <xdr:rowOff>142875</xdr:rowOff>
    </xdr:to>
    <xdr:pic>
      <xdr:nvPicPr>
        <xdr:cNvPr id="2" name="Imagem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76200"/>
          <a:ext cx="12382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1885950</xdr:colOff>
      <xdr:row>28</xdr:row>
      <xdr:rowOff>28575</xdr:rowOff>
    </xdr:from>
    <xdr:to>
      <xdr:col>2</xdr:col>
      <xdr:colOff>2562225</xdr:colOff>
      <xdr:row>29</xdr:row>
      <xdr:rowOff>276225</xdr:rowOff>
    </xdr:to>
    <xdr:pic>
      <xdr:nvPicPr>
        <xdr:cNvPr id="3" name="Imagem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47975" y="4724400"/>
          <a:ext cx="676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1362075</xdr:colOff>
      <xdr:row>0</xdr:row>
      <xdr:rowOff>152400</xdr:rowOff>
    </xdr:from>
    <xdr:to>
      <xdr:col>4</xdr:col>
      <xdr:colOff>657225</xdr:colOff>
      <xdr:row>5</xdr:row>
      <xdr:rowOff>133350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152400"/>
          <a:ext cx="44958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1</xdr:row>
      <xdr:rowOff>104775</xdr:rowOff>
    </xdr:from>
    <xdr:to>
      <xdr:col>2</xdr:col>
      <xdr:colOff>752475</xdr:colOff>
      <xdr:row>5</xdr:row>
      <xdr:rowOff>114300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266700"/>
          <a:ext cx="14668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2371725</xdr:colOff>
      <xdr:row>320</xdr:row>
      <xdr:rowOff>47625</xdr:rowOff>
    </xdr:from>
    <xdr:to>
      <xdr:col>3</xdr:col>
      <xdr:colOff>3009900</xdr:colOff>
      <xdr:row>322</xdr:row>
      <xdr:rowOff>142875</xdr:rowOff>
    </xdr:to>
    <xdr:pic>
      <xdr:nvPicPr>
        <xdr:cNvPr id="3" name="Imagem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29200" y="67694175"/>
          <a:ext cx="638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1133475</xdr:colOff>
      <xdr:row>0</xdr:row>
      <xdr:rowOff>123825</xdr:rowOff>
    </xdr:from>
    <xdr:to>
      <xdr:col>1</xdr:col>
      <xdr:colOff>2619375</xdr:colOff>
      <xdr:row>6</xdr:row>
      <xdr:rowOff>38100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123825"/>
          <a:ext cx="28670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</xdr:row>
      <xdr:rowOff>9525</xdr:rowOff>
    </xdr:from>
    <xdr:to>
      <xdr:col>0</xdr:col>
      <xdr:colOff>1047750</xdr:colOff>
      <xdr:row>5</xdr:row>
      <xdr:rowOff>9525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171450"/>
          <a:ext cx="990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1171575</xdr:colOff>
      <xdr:row>3050</xdr:row>
      <xdr:rowOff>57150</xdr:rowOff>
    </xdr:from>
    <xdr:to>
      <xdr:col>1</xdr:col>
      <xdr:colOff>1809750</xdr:colOff>
      <xdr:row>3052</xdr:row>
      <xdr:rowOff>152400</xdr:rowOff>
    </xdr:to>
    <xdr:pic>
      <xdr:nvPicPr>
        <xdr:cNvPr id="3" name="Imagem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52700" y="734929950"/>
          <a:ext cx="638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485775</xdr:colOff>
      <xdr:row>1</xdr:row>
      <xdr:rowOff>19050</xdr:rowOff>
    </xdr:from>
    <xdr:to>
      <xdr:col>4</xdr:col>
      <xdr:colOff>533400</xdr:colOff>
      <xdr:row>5</xdr:row>
      <xdr:rowOff>95250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180975"/>
          <a:ext cx="43910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1</xdr:row>
      <xdr:rowOff>85725</xdr:rowOff>
    </xdr:from>
    <xdr:to>
      <xdr:col>2</xdr:col>
      <xdr:colOff>85725</xdr:colOff>
      <xdr:row>5</xdr:row>
      <xdr:rowOff>76200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247650"/>
          <a:ext cx="15240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1381125</xdr:colOff>
      <xdr:row>39</xdr:row>
      <xdr:rowOff>47625</xdr:rowOff>
    </xdr:from>
    <xdr:to>
      <xdr:col>2</xdr:col>
      <xdr:colOff>2019300</xdr:colOff>
      <xdr:row>41</xdr:row>
      <xdr:rowOff>142875</xdr:rowOff>
    </xdr:to>
    <xdr:pic>
      <xdr:nvPicPr>
        <xdr:cNvPr id="3" name="Imagem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76575" y="8743950"/>
          <a:ext cx="638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419100</xdr:colOff>
      <xdr:row>190</xdr:row>
      <xdr:rowOff>28575</xdr:rowOff>
    </xdr:from>
    <xdr:to>
      <xdr:col>4</xdr:col>
      <xdr:colOff>314325</xdr:colOff>
      <xdr:row>192</xdr:row>
      <xdr:rowOff>123825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51682650"/>
          <a:ext cx="6286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942975</xdr:colOff>
      <xdr:row>0</xdr:row>
      <xdr:rowOff>152400</xdr:rowOff>
    </xdr:from>
    <xdr:to>
      <xdr:col>3</xdr:col>
      <xdr:colOff>180975</xdr:colOff>
      <xdr:row>3</xdr:row>
      <xdr:rowOff>152400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43150" y="152400"/>
          <a:ext cx="45434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114300</xdr:rowOff>
    </xdr:from>
    <xdr:to>
      <xdr:col>1</xdr:col>
      <xdr:colOff>95250</xdr:colOff>
      <xdr:row>4</xdr:row>
      <xdr:rowOff>123825</xdr:rowOff>
    </xdr:to>
    <xdr:pic>
      <xdr:nvPicPr>
        <xdr:cNvPr id="3" name="Imagem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114300"/>
          <a:ext cx="14382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1381125</xdr:colOff>
      <xdr:row>190</xdr:row>
      <xdr:rowOff>47625</xdr:rowOff>
    </xdr:from>
    <xdr:to>
      <xdr:col>1</xdr:col>
      <xdr:colOff>1381125</xdr:colOff>
      <xdr:row>192</xdr:row>
      <xdr:rowOff>142875</xdr:rowOff>
    </xdr:to>
    <xdr:pic>
      <xdr:nvPicPr>
        <xdr:cNvPr id="4" name="Imagem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81300" y="51701700"/>
          <a:ext cx="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1028700</xdr:colOff>
      <xdr:row>37</xdr:row>
      <xdr:rowOff>180975</xdr:rowOff>
    </xdr:from>
    <xdr:to>
      <xdr:col>1</xdr:col>
      <xdr:colOff>1666875</xdr:colOff>
      <xdr:row>39</xdr:row>
      <xdr:rowOff>85725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7867650"/>
          <a:ext cx="638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1171575</xdr:colOff>
      <xdr:row>0</xdr:row>
      <xdr:rowOff>104775</xdr:rowOff>
    </xdr:from>
    <xdr:to>
      <xdr:col>3</xdr:col>
      <xdr:colOff>990600</xdr:colOff>
      <xdr:row>3</xdr:row>
      <xdr:rowOff>85725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81225" y="104775"/>
          <a:ext cx="33337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123825</xdr:rowOff>
    </xdr:from>
    <xdr:to>
      <xdr:col>1</xdr:col>
      <xdr:colOff>219075</xdr:colOff>
      <xdr:row>3</xdr:row>
      <xdr:rowOff>76200</xdr:rowOff>
    </xdr:to>
    <xdr:pic>
      <xdr:nvPicPr>
        <xdr:cNvPr id="3" name="Imagem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23825"/>
          <a:ext cx="11430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1562100</xdr:colOff>
      <xdr:row>305</xdr:row>
      <xdr:rowOff>57150</xdr:rowOff>
    </xdr:from>
    <xdr:to>
      <xdr:col>2</xdr:col>
      <xdr:colOff>1971675</xdr:colOff>
      <xdr:row>308</xdr:row>
      <xdr:rowOff>0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7696200"/>
          <a:ext cx="4095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0</xdr:row>
      <xdr:rowOff>28575</xdr:rowOff>
    </xdr:from>
    <xdr:to>
      <xdr:col>2</xdr:col>
      <xdr:colOff>3000375</xdr:colOff>
      <xdr:row>2</xdr:row>
      <xdr:rowOff>161925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8575"/>
          <a:ext cx="29146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0</xdr:row>
      <xdr:rowOff>0</xdr:rowOff>
    </xdr:from>
    <xdr:to>
      <xdr:col>1</xdr:col>
      <xdr:colOff>1485900</xdr:colOff>
      <xdr:row>3</xdr:row>
      <xdr:rowOff>9525</xdr:rowOff>
    </xdr:to>
    <xdr:pic>
      <xdr:nvPicPr>
        <xdr:cNvPr id="3" name="Imagem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5775" y="0"/>
          <a:ext cx="1276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104775</xdr:rowOff>
    </xdr:from>
    <xdr:to>
      <xdr:col>1</xdr:col>
      <xdr:colOff>4495800</xdr:colOff>
      <xdr:row>5</xdr:row>
      <xdr:rowOff>85725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104775"/>
          <a:ext cx="44958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123825</xdr:rowOff>
    </xdr:from>
    <xdr:to>
      <xdr:col>1</xdr:col>
      <xdr:colOff>581025</xdr:colOff>
      <xdr:row>4</xdr:row>
      <xdr:rowOff>142875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123825"/>
          <a:ext cx="14668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590550</xdr:colOff>
      <xdr:row>0</xdr:row>
      <xdr:rowOff>152400</xdr:rowOff>
    </xdr:from>
    <xdr:to>
      <xdr:col>17</xdr:col>
      <xdr:colOff>38100</xdr:colOff>
      <xdr:row>5</xdr:row>
      <xdr:rowOff>142875</xdr:rowOff>
    </xdr:to>
    <xdr:pic>
      <xdr:nvPicPr>
        <xdr:cNvPr id="3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5240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2114550</xdr:colOff>
      <xdr:row>280</xdr:row>
      <xdr:rowOff>19050</xdr:rowOff>
    </xdr:from>
    <xdr:to>
      <xdr:col>1</xdr:col>
      <xdr:colOff>2752725</xdr:colOff>
      <xdr:row>282</xdr:row>
      <xdr:rowOff>133350</xdr:rowOff>
    </xdr:to>
    <xdr:pic>
      <xdr:nvPicPr>
        <xdr:cNvPr id="4" name="Imagem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67050" y="65322450"/>
          <a:ext cx="6381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4"/>
  <sheetViews>
    <sheetView view="pageBreakPreview" zoomScale="80" zoomScaleSheetLayoutView="80" zoomScalePageLayoutView="0" workbookViewId="0" topLeftCell="A1">
      <selection activeCell="J21" sqref="J21"/>
    </sheetView>
  </sheetViews>
  <sheetFormatPr defaultColWidth="9.33203125" defaultRowHeight="12.75"/>
  <cols>
    <col min="1" max="1" width="1.3359375" style="7" customWidth="1"/>
    <col min="2" max="2" width="23" style="12" customWidth="1"/>
    <col min="3" max="3" width="22.33203125" style="13" customWidth="1"/>
    <col min="4" max="4" width="18.16015625" style="12" customWidth="1"/>
    <col min="5" max="5" width="35" style="12" customWidth="1"/>
    <col min="6" max="6" width="9.33203125" style="7" customWidth="1"/>
    <col min="7" max="7" width="10.66015625" style="7" customWidth="1"/>
    <col min="8" max="8" width="11" style="7" bestFit="1" customWidth="1"/>
    <col min="9" max="16384" width="9.33203125" style="7" customWidth="1"/>
  </cols>
  <sheetData>
    <row r="1" spans="2:4" ht="18.75">
      <c r="B1" s="50"/>
      <c r="C1" s="1"/>
      <c r="D1" s="1"/>
    </row>
    <row r="2" spans="2:4" ht="18.75">
      <c r="B2" s="50"/>
      <c r="C2" s="1"/>
      <c r="D2" s="1"/>
    </row>
    <row r="3" spans="2:4" ht="18.75">
      <c r="B3" s="50"/>
      <c r="C3" s="1"/>
      <c r="D3" s="1"/>
    </row>
    <row r="4" spans="2:4" ht="11.25" customHeight="1">
      <c r="B4" s="50"/>
      <c r="C4" s="1"/>
      <c r="D4" s="1"/>
    </row>
    <row r="5" spans="2:5" ht="18.75">
      <c r="B5" s="752" t="s">
        <v>273</v>
      </c>
      <c r="C5" s="753"/>
      <c r="D5" s="753"/>
      <c r="E5" s="754"/>
    </row>
    <row r="6" spans="2:5" ht="24">
      <c r="B6" s="211" t="s">
        <v>274</v>
      </c>
      <c r="C6" s="755" t="s">
        <v>275</v>
      </c>
      <c r="D6" s="755"/>
      <c r="E6" s="755"/>
    </row>
    <row r="7" spans="2:5" ht="18.75">
      <c r="B7" s="212" t="s">
        <v>276</v>
      </c>
      <c r="C7" s="733" t="s">
        <v>277</v>
      </c>
      <c r="D7" s="733"/>
      <c r="E7" s="733"/>
    </row>
    <row r="8" spans="2:5" ht="18.75">
      <c r="B8" s="212" t="s">
        <v>278</v>
      </c>
      <c r="C8" s="756" t="s">
        <v>279</v>
      </c>
      <c r="D8" s="756"/>
      <c r="E8" s="756"/>
    </row>
    <row r="9" spans="2:5" ht="18.75">
      <c r="B9" s="212" t="s">
        <v>54</v>
      </c>
      <c r="C9" s="757">
        <v>43245</v>
      </c>
      <c r="D9" s="757"/>
      <c r="E9" s="757"/>
    </row>
    <row r="10" spans="2:5" s="213" customFormat="1" ht="18.75">
      <c r="B10" s="212" t="s">
        <v>280</v>
      </c>
      <c r="C10" s="733" t="s">
        <v>1832</v>
      </c>
      <c r="D10" s="733"/>
      <c r="E10" s="733"/>
    </row>
    <row r="11" spans="2:5" s="213" customFormat="1" ht="24">
      <c r="B11" s="212" t="s">
        <v>281</v>
      </c>
      <c r="C11" s="733" t="s">
        <v>1134</v>
      </c>
      <c r="D11" s="733"/>
      <c r="E11" s="733"/>
    </row>
    <row r="12" ht="7.5" customHeight="1"/>
    <row r="13" spans="2:5" ht="18.75">
      <c r="B13" s="735" t="s">
        <v>38</v>
      </c>
      <c r="C13" s="736"/>
      <c r="D13" s="736"/>
      <c r="E13" s="737"/>
    </row>
    <row r="14" spans="3:5" ht="5.25" customHeight="1">
      <c r="C14" s="14"/>
      <c r="D14" s="15"/>
      <c r="E14" s="15"/>
    </row>
    <row r="15" spans="2:5" s="8" customFormat="1" ht="27" customHeight="1">
      <c r="B15" s="738" t="s">
        <v>26</v>
      </c>
      <c r="C15" s="739"/>
      <c r="D15" s="729" t="s">
        <v>1135</v>
      </c>
      <c r="E15" s="729"/>
    </row>
    <row r="16" spans="2:6" ht="18.75">
      <c r="B16" s="734" t="s">
        <v>359</v>
      </c>
      <c r="C16" s="734"/>
      <c r="D16" s="730">
        <v>0.04</v>
      </c>
      <c r="E16" s="730"/>
      <c r="F16" s="9"/>
    </row>
    <row r="17" spans="2:6" ht="18.75">
      <c r="B17" s="734" t="s">
        <v>360</v>
      </c>
      <c r="C17" s="734"/>
      <c r="D17" s="730">
        <v>0.0123</v>
      </c>
      <c r="E17" s="730"/>
      <c r="F17" s="9"/>
    </row>
    <row r="18" spans="2:5" ht="18.75">
      <c r="B18" s="734" t="s">
        <v>361</v>
      </c>
      <c r="C18" s="734"/>
      <c r="D18" s="730">
        <v>0.008</v>
      </c>
      <c r="E18" s="730"/>
    </row>
    <row r="19" spans="2:5" ht="18.75">
      <c r="B19" s="734" t="s">
        <v>1140</v>
      </c>
      <c r="C19" s="734"/>
      <c r="D19" s="730">
        <v>0.0100049</v>
      </c>
      <c r="E19" s="730"/>
    </row>
    <row r="20" spans="2:5" ht="18.75">
      <c r="B20" s="734" t="s">
        <v>1139</v>
      </c>
      <c r="C20" s="734"/>
      <c r="D20" s="730">
        <v>0.00653</v>
      </c>
      <c r="E20" s="730"/>
    </row>
    <row r="21" spans="2:5" ht="18.75">
      <c r="B21" s="734" t="s">
        <v>1138</v>
      </c>
      <c r="C21" s="734"/>
      <c r="D21" s="730">
        <v>0.030049</v>
      </c>
      <c r="E21" s="730"/>
    </row>
    <row r="22" spans="2:5" ht="18.75">
      <c r="B22" s="734" t="s">
        <v>362</v>
      </c>
      <c r="C22" s="734"/>
      <c r="D22" s="730">
        <v>0.074043</v>
      </c>
      <c r="E22" s="730"/>
    </row>
    <row r="23" spans="2:5" ht="18.75">
      <c r="B23" s="734" t="s">
        <v>39</v>
      </c>
      <c r="C23" s="734"/>
      <c r="D23" s="730">
        <v>0.012743</v>
      </c>
      <c r="E23" s="730"/>
    </row>
    <row r="24" spans="2:5" ht="18.75">
      <c r="B24" s="734" t="s">
        <v>1141</v>
      </c>
      <c r="C24" s="734"/>
      <c r="D24" s="730">
        <v>0.045</v>
      </c>
      <c r="E24" s="730"/>
    </row>
    <row r="25" spans="2:10" ht="18.75">
      <c r="B25" s="740" t="s">
        <v>27</v>
      </c>
      <c r="C25" s="740"/>
      <c r="D25" s="731">
        <f>((1+D18+D23+D16)*(1+D17)*(1+D22))/(1-(D19+D20+D21+D24))-1</f>
        <v>0.2695688486306802</v>
      </c>
      <c r="E25" s="732"/>
      <c r="G25" s="6"/>
      <c r="H25" s="6"/>
      <c r="I25" s="6"/>
      <c r="J25" s="6"/>
    </row>
    <row r="26" spans="2:5" ht="3.75" customHeight="1">
      <c r="B26" s="16"/>
      <c r="C26" s="17"/>
      <c r="D26" s="18"/>
      <c r="E26" s="18"/>
    </row>
    <row r="27" spans="2:5" ht="18.75">
      <c r="B27" s="741" t="s">
        <v>40</v>
      </c>
      <c r="C27" s="742"/>
      <c r="D27" s="742"/>
      <c r="E27" s="743"/>
    </row>
    <row r="28" spans="2:5" ht="18.75">
      <c r="B28" s="19"/>
      <c r="C28" s="20"/>
      <c r="D28" s="21"/>
      <c r="E28" s="22"/>
    </row>
    <row r="29" spans="2:5" ht="18.75">
      <c r="B29" s="23"/>
      <c r="C29"/>
      <c r="D29" s="24"/>
      <c r="E29" s="25"/>
    </row>
    <row r="30" spans="2:5" ht="18.75">
      <c r="B30" s="26"/>
      <c r="C30" s="27"/>
      <c r="D30" s="28"/>
      <c r="E30" s="29"/>
    </row>
    <row r="31" spans="2:5" ht="4.5" customHeight="1">
      <c r="B31" s="16"/>
      <c r="C31" s="17"/>
      <c r="D31" s="18"/>
      <c r="E31" s="18"/>
    </row>
    <row r="32" spans="2:5" ht="18.75">
      <c r="B32" s="744" t="s">
        <v>41</v>
      </c>
      <c r="C32" s="744"/>
      <c r="D32" s="744"/>
      <c r="E32" s="744"/>
    </row>
    <row r="33" spans="2:5" ht="27.75" customHeight="1">
      <c r="B33" s="745" t="s">
        <v>1136</v>
      </c>
      <c r="C33" s="745"/>
      <c r="D33" s="745"/>
      <c r="E33" s="745"/>
    </row>
    <row r="34" spans="2:5" ht="18.75">
      <c r="B34" s="745" t="s">
        <v>42</v>
      </c>
      <c r="C34" s="745"/>
      <c r="D34" s="745"/>
      <c r="E34" s="745"/>
    </row>
    <row r="35" spans="2:5" ht="30" customHeight="1">
      <c r="B35" s="745" t="s">
        <v>1137</v>
      </c>
      <c r="C35" s="745"/>
      <c r="D35" s="745"/>
      <c r="E35" s="745"/>
    </row>
    <row r="36" spans="2:5" ht="78.75" customHeight="1">
      <c r="B36" s="745" t="s">
        <v>43</v>
      </c>
      <c r="C36" s="745"/>
      <c r="D36" s="745"/>
      <c r="E36" s="745"/>
    </row>
    <row r="37" ht="5.25" customHeight="1">
      <c r="C37" s="16"/>
    </row>
    <row r="38" spans="2:5" ht="18.75">
      <c r="B38" s="746" t="s">
        <v>3</v>
      </c>
      <c r="C38" s="747"/>
      <c r="D38" s="748"/>
      <c r="E38" s="198" t="s">
        <v>364</v>
      </c>
    </row>
    <row r="39" spans="2:5" ht="22.5" customHeight="1">
      <c r="B39" s="146" t="s">
        <v>366</v>
      </c>
      <c r="C39" s="144"/>
      <c r="D39" s="217"/>
      <c r="E39" s="215"/>
    </row>
    <row r="40" spans="2:5" ht="18.75">
      <c r="B40" s="214" t="s">
        <v>367</v>
      </c>
      <c r="C40" s="218"/>
      <c r="D40" s="219"/>
      <c r="E40" s="216"/>
    </row>
    <row r="41" spans="2:5" ht="5.25" customHeight="1">
      <c r="B41" s="52"/>
      <c r="C41" s="53"/>
      <c r="D41" s="7"/>
      <c r="E41" s="54"/>
    </row>
    <row r="42" spans="2:5" ht="18.75">
      <c r="B42" s="749" t="s">
        <v>365</v>
      </c>
      <c r="C42" s="750"/>
      <c r="D42" s="751"/>
      <c r="E42" s="198" t="s">
        <v>364</v>
      </c>
    </row>
    <row r="43" spans="2:5" ht="18.75">
      <c r="B43" s="202"/>
      <c r="C43" s="220"/>
      <c r="D43" s="221"/>
      <c r="E43" s="203"/>
    </row>
    <row r="44" spans="2:5" ht="18.75">
      <c r="B44" s="206"/>
      <c r="C44" s="222"/>
      <c r="D44" s="223"/>
      <c r="E44" s="207"/>
    </row>
  </sheetData>
  <sheetProtection/>
  <mergeCells count="38">
    <mergeCell ref="B38:D38"/>
    <mergeCell ref="B42:D42"/>
    <mergeCell ref="B5:E5"/>
    <mergeCell ref="C6:E6"/>
    <mergeCell ref="C7:E7"/>
    <mergeCell ref="C8:E8"/>
    <mergeCell ref="C9:E9"/>
    <mergeCell ref="B34:E34"/>
    <mergeCell ref="B35:E35"/>
    <mergeCell ref="B36:E36"/>
    <mergeCell ref="B25:C25"/>
    <mergeCell ref="B27:E27"/>
    <mergeCell ref="B32:E32"/>
    <mergeCell ref="B33:E33"/>
    <mergeCell ref="B17:C17"/>
    <mergeCell ref="B22:C22"/>
    <mergeCell ref="D21:E21"/>
    <mergeCell ref="B19:C19"/>
    <mergeCell ref="B20:C20"/>
    <mergeCell ref="B21:C21"/>
    <mergeCell ref="D25:E25"/>
    <mergeCell ref="D24:E24"/>
    <mergeCell ref="C10:E10"/>
    <mergeCell ref="C11:E11"/>
    <mergeCell ref="B24:C24"/>
    <mergeCell ref="B13:E13"/>
    <mergeCell ref="B15:C15"/>
    <mergeCell ref="B16:C16"/>
    <mergeCell ref="B18:C18"/>
    <mergeCell ref="B23:C23"/>
    <mergeCell ref="D15:E15"/>
    <mergeCell ref="D16:E16"/>
    <mergeCell ref="D18:E18"/>
    <mergeCell ref="D23:E23"/>
    <mergeCell ref="D17:E17"/>
    <mergeCell ref="D22:E22"/>
    <mergeCell ref="D19:E19"/>
    <mergeCell ref="D20:E20"/>
  </mergeCells>
  <printOptions horizontalCentered="1"/>
  <pageMargins left="0.25" right="0.25" top="0.75" bottom="0.75" header="0.3" footer="0.3"/>
  <pageSetup horizontalDpi="600" verticalDpi="600" orientation="portrait" paperSize="9" scale="87" r:id="rId2"/>
  <headerFooter>
    <oddFooter>&amp;L&amp;"-,Regular"&amp;A&amp;R&amp;"-,Regular"Página &amp;P de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P26" sqref="P26"/>
    </sheetView>
  </sheetViews>
  <sheetFormatPr defaultColWidth="9.33203125" defaultRowHeight="12.75"/>
  <cols>
    <col min="1" max="16384" width="9.33203125" style="293" customWidth="1"/>
  </cols>
  <sheetData/>
  <sheetProtection/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12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4"/>
  <sheetViews>
    <sheetView view="pageBreakPreview" zoomScale="80" zoomScaleNormal="70" zoomScaleSheetLayoutView="80" zoomScalePageLayoutView="0" workbookViewId="0" topLeftCell="A1">
      <selection activeCell="G26" sqref="G26"/>
    </sheetView>
  </sheetViews>
  <sheetFormatPr defaultColWidth="9.33203125" defaultRowHeight="12.75"/>
  <cols>
    <col min="1" max="1" width="2" style="1" bestFit="1" customWidth="1"/>
    <col min="2" max="2" width="14.83203125" style="1" customWidth="1"/>
    <col min="3" max="3" width="70.16015625" style="1" customWidth="1"/>
    <col min="4" max="4" width="23.33203125" style="1" customWidth="1"/>
    <col min="5" max="5" width="24.33203125" style="1" customWidth="1"/>
    <col min="6" max="6" width="32.16015625" style="4" customWidth="1"/>
    <col min="7" max="7" width="27.33203125" style="3" customWidth="1"/>
    <col min="8" max="8" width="14" style="4" customWidth="1"/>
    <col min="9" max="9" width="10.33203125" style="3" customWidth="1"/>
    <col min="10" max="10" width="17" style="4" customWidth="1"/>
    <col min="11" max="11" width="9.33203125" style="3" customWidth="1"/>
    <col min="12" max="15" width="9.33203125" style="1" customWidth="1"/>
    <col min="16" max="16" width="12.66015625" style="1" customWidth="1"/>
    <col min="17" max="16384" width="9.33203125" style="1" customWidth="1"/>
  </cols>
  <sheetData>
    <row r="1" spans="2:5" ht="18.75">
      <c r="B1" s="50"/>
      <c r="E1" s="12"/>
    </row>
    <row r="2" spans="2:5" ht="18.75">
      <c r="B2" s="50"/>
      <c r="E2" s="12"/>
    </row>
    <row r="3" spans="2:5" ht="15" customHeight="1">
      <c r="B3" s="50"/>
      <c r="E3" s="12"/>
    </row>
    <row r="4" spans="2:5" ht="18.75">
      <c r="B4" s="50"/>
      <c r="E4" s="12"/>
    </row>
    <row r="5" spans="2:5" ht="12.75">
      <c r="B5" s="752" t="s">
        <v>273</v>
      </c>
      <c r="C5" s="753"/>
      <c r="D5" s="753"/>
      <c r="E5" s="754"/>
    </row>
    <row r="6" spans="2:5" ht="12.75">
      <c r="B6" s="769" t="s">
        <v>274</v>
      </c>
      <c r="C6" s="769"/>
      <c r="D6" s="761" t="s">
        <v>275</v>
      </c>
      <c r="E6" s="762"/>
    </row>
    <row r="7" spans="2:5" ht="12.75">
      <c r="B7" s="758" t="s">
        <v>276</v>
      </c>
      <c r="C7" s="758"/>
      <c r="D7" s="763" t="s">
        <v>277</v>
      </c>
      <c r="E7" s="764"/>
    </row>
    <row r="8" spans="2:5" ht="12.75">
      <c r="B8" s="758" t="s">
        <v>278</v>
      </c>
      <c r="C8" s="758"/>
      <c r="D8" s="765" t="s">
        <v>279</v>
      </c>
      <c r="E8" s="766"/>
    </row>
    <row r="9" spans="2:5" ht="12.75">
      <c r="B9" s="758" t="s">
        <v>54</v>
      </c>
      <c r="C9" s="758"/>
      <c r="D9" s="759">
        <v>43245</v>
      </c>
      <c r="E9" s="760"/>
    </row>
    <row r="10" spans="2:5" ht="12.75">
      <c r="B10" s="758" t="s">
        <v>280</v>
      </c>
      <c r="C10" s="758"/>
      <c r="D10" s="763" t="s">
        <v>1832</v>
      </c>
      <c r="E10" s="764"/>
    </row>
    <row r="11" spans="2:5" ht="12.75">
      <c r="B11" s="758" t="s">
        <v>281</v>
      </c>
      <c r="C11" s="758"/>
      <c r="D11" s="763" t="s">
        <v>1134</v>
      </c>
      <c r="E11" s="764"/>
    </row>
    <row r="12" spans="2:5" ht="6.75" customHeight="1">
      <c r="B12" s="12"/>
      <c r="C12" s="13"/>
      <c r="D12" s="12"/>
      <c r="E12" s="12"/>
    </row>
    <row r="13" spans="2:5" ht="15">
      <c r="B13" s="735" t="s">
        <v>1152</v>
      </c>
      <c r="C13" s="736"/>
      <c r="D13" s="736"/>
      <c r="E13" s="737"/>
    </row>
    <row r="14" spans="4:5" ht="6" customHeight="1">
      <c r="D14" s="224"/>
      <c r="E14" s="224"/>
    </row>
    <row r="15" spans="2:5" ht="8.25" customHeight="1">
      <c r="B15" s="225"/>
      <c r="C15" s="226"/>
      <c r="D15" s="233"/>
      <c r="E15" s="232"/>
    </row>
    <row r="16" spans="2:5" ht="12.75">
      <c r="B16" s="227" t="s">
        <v>35</v>
      </c>
      <c r="C16" s="181" t="s">
        <v>26</v>
      </c>
      <c r="D16" s="234" t="s">
        <v>30</v>
      </c>
      <c r="E16" s="228" t="s">
        <v>1142</v>
      </c>
    </row>
    <row r="17" spans="2:5" ht="15" customHeight="1">
      <c r="B17" s="229"/>
      <c r="C17" s="230"/>
      <c r="D17" s="235" t="s">
        <v>31</v>
      </c>
      <c r="E17" s="231" t="s">
        <v>46</v>
      </c>
    </row>
    <row r="18" spans="1:5" ht="15" customHeight="1">
      <c r="A18" s="64"/>
      <c r="B18" s="236" t="str">
        <f>'Planilha orçamentária'!B10</f>
        <v>02.00.000</v>
      </c>
      <c r="C18" s="236" t="str">
        <f>'Planilha orçamentária'!C10:J10</f>
        <v>SERVIÇOS PRELIMINARES</v>
      </c>
      <c r="D18" s="259">
        <f>'Planilha orçamentária'!J52</f>
        <v>22314.52</v>
      </c>
      <c r="E18" s="239">
        <f aca="true" t="shared" si="0" ref="E18:E24">D18/$D$25</f>
        <v>0.09995744494047219</v>
      </c>
    </row>
    <row r="19" spans="1:12" ht="15">
      <c r="A19" s="64"/>
      <c r="B19" s="113" t="str">
        <f>'Planilha orçamentária'!B54</f>
        <v>04.00.000</v>
      </c>
      <c r="C19" s="113" t="str">
        <f>'Planilha orçamentária'!C54:J54</f>
        <v>ARQUITETURA E ELEMENTOS DE URBANISMO</v>
      </c>
      <c r="D19" s="258">
        <f>'Planilha orçamentária'!J106</f>
        <v>116771.36</v>
      </c>
      <c r="E19" s="239">
        <f t="shared" si="0"/>
        <v>0.5230749658887601</v>
      </c>
      <c r="F19" s="165"/>
      <c r="G19" s="66"/>
      <c r="H19" s="65"/>
      <c r="I19" s="66"/>
      <c r="J19" s="65"/>
      <c r="K19" s="66"/>
      <c r="L19" s="71"/>
    </row>
    <row r="20" spans="1:12" ht="15">
      <c r="A20" s="64"/>
      <c r="B20" s="113" t="str">
        <f>'Planilha orçamentária'!B108</f>
        <v>05.00.000</v>
      </c>
      <c r="C20" s="113" t="str">
        <f>'Planilha orçamentária'!C108:J108</f>
        <v>INSTALAÇÕES HIDRAÚLICAS E SANITÁRIAS</v>
      </c>
      <c r="D20" s="258">
        <f>'Planilha orçamentária'!J233</f>
        <v>39169.24</v>
      </c>
      <c r="E20" s="239">
        <f t="shared" si="0"/>
        <v>0.17545782524831996</v>
      </c>
      <c r="F20" s="165"/>
      <c r="G20" s="66"/>
      <c r="H20" s="65"/>
      <c r="I20" s="66"/>
      <c r="J20" s="65"/>
      <c r="K20" s="66"/>
      <c r="L20" s="71"/>
    </row>
    <row r="21" spans="1:12" ht="15">
      <c r="A21" s="64"/>
      <c r="B21" s="113" t="str">
        <f>'Planilha orçamentária'!B235</f>
        <v>06.00.000</v>
      </c>
      <c r="C21" s="113" t="str">
        <f>'Planilha orçamentária'!C235:J235</f>
        <v>INSTALAÇÕES ELÉTRICAS E ELETRÔNICAS</v>
      </c>
      <c r="D21" s="258">
        <f>'Planilha orçamentária'!J276</f>
        <v>22383.2</v>
      </c>
      <c r="E21" s="239">
        <f t="shared" si="0"/>
        <v>0.10026509562345849</v>
      </c>
      <c r="F21" s="165"/>
      <c r="G21" s="66"/>
      <c r="H21" s="65"/>
      <c r="I21" s="66"/>
      <c r="J21" s="65"/>
      <c r="K21" s="66"/>
      <c r="L21" s="71"/>
    </row>
    <row r="22" spans="1:11" ht="12.75">
      <c r="A22" s="64"/>
      <c r="B22" s="113" t="str">
        <f>'Planilha orçamentária'!B278</f>
        <v>07.00.000</v>
      </c>
      <c r="C22" s="113" t="str">
        <f>'Planilha orçamentária'!C278:J278</f>
        <v>INSTALAÇÕES MECÂNICAS E DE UTILIDADES</v>
      </c>
      <c r="D22" s="258">
        <f>'Planilha orçamentária'!J291</f>
        <v>3232.5</v>
      </c>
      <c r="E22" s="239">
        <f t="shared" si="0"/>
        <v>0.01447991893933082</v>
      </c>
      <c r="F22" s="1"/>
      <c r="G22" s="1"/>
      <c r="H22" s="1"/>
      <c r="I22" s="1"/>
      <c r="J22" s="1"/>
      <c r="K22" s="1"/>
    </row>
    <row r="23" spans="1:12" ht="15">
      <c r="A23" s="64"/>
      <c r="B23" s="237" t="str">
        <f>'Planilha orçamentária'!B293</f>
        <v>09.00.000</v>
      </c>
      <c r="C23" s="238" t="str">
        <f>'Planilha orçamentária'!C293:J293</f>
        <v>SERVIÇOS COMPLEMENTARES</v>
      </c>
      <c r="D23" s="258">
        <f>'Planilha orçamentária'!J301</f>
        <v>694.51</v>
      </c>
      <c r="E23" s="239">
        <f t="shared" si="0"/>
        <v>0.00311104362027986</v>
      </c>
      <c r="F23" s="165"/>
      <c r="G23" s="66"/>
      <c r="H23" s="65"/>
      <c r="I23" s="66"/>
      <c r="J23" s="65"/>
      <c r="K23" s="66"/>
      <c r="L23" s="71"/>
    </row>
    <row r="24" spans="1:12" ht="15">
      <c r="A24" s="64"/>
      <c r="B24" s="113" t="str">
        <f>'Planilha orçamentária'!B303</f>
        <v>10.00.000</v>
      </c>
      <c r="C24" s="113" t="str">
        <f>'Planilha orçamentária'!C303:J303</f>
        <v>SERVIÇOS AUXILIARES E ADMINISTRATIVOS</v>
      </c>
      <c r="D24" s="258">
        <f>'Planilha orçamentária'!J311</f>
        <v>18674.87</v>
      </c>
      <c r="E24" s="239">
        <f t="shared" si="0"/>
        <v>0.08365370573937847</v>
      </c>
      <c r="F24" s="166"/>
      <c r="G24" s="69"/>
      <c r="H24" s="68"/>
      <c r="I24" s="69"/>
      <c r="J24" s="68"/>
      <c r="K24" s="69"/>
      <c r="L24" s="72"/>
    </row>
    <row r="25" spans="1:23" s="3" customFormat="1" ht="12.75" hidden="1">
      <c r="A25" s="64"/>
      <c r="B25" s="130" t="s">
        <v>53</v>
      </c>
      <c r="C25" s="131"/>
      <c r="D25" s="132">
        <f>SUM(D18:D24)</f>
        <v>223240.2</v>
      </c>
      <c r="E25" s="240">
        <f>SUM(E18:E24)</f>
        <v>1</v>
      </c>
      <c r="F25" s="4"/>
      <c r="H25" s="4"/>
      <c r="J25" s="4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s="3" customFormat="1" ht="24" customHeight="1">
      <c r="A26" s="1"/>
      <c r="B26" s="767" t="s">
        <v>1258</v>
      </c>
      <c r="C26" s="768"/>
      <c r="D26" s="694">
        <f>ROUNDDOWN(SUM(D18:D24),2)</f>
        <v>223240.2</v>
      </c>
      <c r="E26" s="260">
        <f>SUM(E18:E24)</f>
        <v>1</v>
      </c>
      <c r="F26" s="4"/>
      <c r="H26" s="4"/>
      <c r="J26" s="4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ht="6" customHeight="1"/>
    <row r="28" spans="2:5" ht="12.75">
      <c r="B28" s="746" t="s">
        <v>3</v>
      </c>
      <c r="C28" s="747"/>
      <c r="D28" s="748"/>
      <c r="E28" s="198" t="s">
        <v>364</v>
      </c>
    </row>
    <row r="29" spans="2:5" ht="27.75" customHeight="1">
      <c r="B29" s="257" t="s">
        <v>366</v>
      </c>
      <c r="C29" s="144"/>
      <c r="D29" s="217"/>
      <c r="E29" s="215"/>
    </row>
    <row r="30" spans="2:5" ht="29.25" customHeight="1">
      <c r="B30" s="214" t="s">
        <v>367</v>
      </c>
      <c r="C30" s="218"/>
      <c r="D30" s="219"/>
      <c r="E30" s="216"/>
    </row>
    <row r="31" spans="2:5" ht="7.5" customHeight="1">
      <c r="B31" s="52"/>
      <c r="C31" s="53"/>
      <c r="D31" s="7"/>
      <c r="E31" s="54"/>
    </row>
    <row r="32" spans="2:5" ht="12.75">
      <c r="B32" s="749" t="s">
        <v>365</v>
      </c>
      <c r="C32" s="750"/>
      <c r="D32" s="751"/>
      <c r="E32" s="198" t="s">
        <v>364</v>
      </c>
    </row>
    <row r="33" spans="2:5" ht="30" customHeight="1">
      <c r="B33" s="202"/>
      <c r="C33" s="220"/>
      <c r="D33" s="221"/>
      <c r="E33" s="203"/>
    </row>
    <row r="34" spans="2:5" ht="33" customHeight="1">
      <c r="B34" s="206"/>
      <c r="C34" s="222"/>
      <c r="D34" s="223"/>
      <c r="E34" s="207"/>
    </row>
  </sheetData>
  <sheetProtection/>
  <mergeCells count="17">
    <mergeCell ref="B26:C26"/>
    <mergeCell ref="B28:D28"/>
    <mergeCell ref="B32:D32"/>
    <mergeCell ref="B5:E5"/>
    <mergeCell ref="B13:E13"/>
    <mergeCell ref="B6:C6"/>
    <mergeCell ref="B7:C7"/>
    <mergeCell ref="B8:C8"/>
    <mergeCell ref="B9:C9"/>
    <mergeCell ref="B10:C10"/>
    <mergeCell ref="B11:C11"/>
    <mergeCell ref="D9:E9"/>
    <mergeCell ref="D6:E6"/>
    <mergeCell ref="D7:E7"/>
    <mergeCell ref="D8:E8"/>
    <mergeCell ref="D10:E10"/>
    <mergeCell ref="D11:E11"/>
  </mergeCells>
  <printOptions horizontalCentered="1"/>
  <pageMargins left="0.25" right="0.25" top="0.75" bottom="0.75" header="0.3" footer="0.3"/>
  <pageSetup fitToHeight="0" fitToWidth="1" horizontalDpi="600" verticalDpi="600" orientation="portrait" paperSize="9" scale="83" r:id="rId2"/>
  <headerFooter>
    <oddHeader>&amp;L&amp;G</oddHeader>
    <oddFooter>&amp;L&amp;"-,Regular"&amp;A&amp;R&amp;"-,Regular"Página 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3"/>
  <sheetViews>
    <sheetView tabSelected="1" view="pageBreakPreview" zoomScale="70" zoomScaleNormal="70" zoomScaleSheetLayoutView="70" zoomScalePageLayoutView="0" workbookViewId="0" topLeftCell="A1">
      <pane xSplit="1" topLeftCell="B1" activePane="topRight" state="frozen"/>
      <selection pane="topLeft" activeCell="E303" sqref="E303"/>
      <selection pane="topRight" activeCell="D21" sqref="D21"/>
    </sheetView>
  </sheetViews>
  <sheetFormatPr defaultColWidth="9.33203125" defaultRowHeight="12.75"/>
  <cols>
    <col min="1" max="1" width="2" style="1" bestFit="1" customWidth="1"/>
    <col min="2" max="2" width="17.33203125" style="307" customWidth="1"/>
    <col min="3" max="3" width="27.16015625" style="1" customWidth="1"/>
    <col min="4" max="4" width="91" style="1" customWidth="1"/>
    <col min="5" max="5" width="12.83203125" style="103" customWidth="1"/>
    <col min="6" max="6" width="15" style="1" customWidth="1"/>
    <col min="7" max="7" width="25.16015625" style="1" customWidth="1"/>
    <col min="8" max="8" width="18.16015625" style="1" customWidth="1"/>
    <col min="9" max="9" width="17.16015625" style="1" customWidth="1"/>
    <col min="10" max="10" width="22.5" style="1" customWidth="1"/>
    <col min="11" max="11" width="50.16015625" style="1" customWidth="1"/>
    <col min="12" max="12" width="11.16015625" style="3" bestFit="1" customWidth="1"/>
    <col min="13" max="13" width="12.83203125" style="1" customWidth="1"/>
    <col min="14" max="14" width="11.66015625" style="1" customWidth="1"/>
    <col min="15" max="15" width="9.33203125" style="1" customWidth="1"/>
    <col min="16" max="16" width="16.33203125" style="1" customWidth="1"/>
    <col min="17" max="17" width="19.33203125" style="527" customWidth="1"/>
    <col min="18" max="16384" width="9.33203125" style="1" customWidth="1"/>
  </cols>
  <sheetData>
    <row r="1" spans="5:11" ht="12.75">
      <c r="E1" s="135"/>
      <c r="F1" s="770" t="s">
        <v>273</v>
      </c>
      <c r="G1" s="770"/>
      <c r="H1" s="770"/>
      <c r="I1" s="770"/>
      <c r="J1" s="770"/>
      <c r="K1" s="135"/>
    </row>
    <row r="2" spans="5:10" ht="12.75">
      <c r="E2" s="1"/>
      <c r="F2" s="105" t="s">
        <v>274</v>
      </c>
      <c r="G2" s="106"/>
      <c r="H2" s="107" t="s">
        <v>275</v>
      </c>
      <c r="I2" s="413"/>
      <c r="J2" s="413"/>
    </row>
    <row r="3" spans="5:10" ht="12.75">
      <c r="E3" s="1"/>
      <c r="F3" s="109" t="s">
        <v>276</v>
      </c>
      <c r="G3" s="110"/>
      <c r="H3" s="111" t="s">
        <v>277</v>
      </c>
      <c r="I3" s="416"/>
      <c r="J3" s="416"/>
    </row>
    <row r="4" spans="5:10" ht="12.75">
      <c r="E4" s="1"/>
      <c r="F4" s="109" t="s">
        <v>278</v>
      </c>
      <c r="G4" s="110"/>
      <c r="H4" s="111" t="s">
        <v>279</v>
      </c>
      <c r="I4" s="416"/>
      <c r="J4" s="416"/>
    </row>
    <row r="5" spans="5:10" ht="12.75">
      <c r="E5" s="1"/>
      <c r="F5" s="109" t="s">
        <v>54</v>
      </c>
      <c r="G5" s="110"/>
      <c r="H5" s="526" t="s">
        <v>1833</v>
      </c>
      <c r="I5" s="416"/>
      <c r="J5" s="416"/>
    </row>
    <row r="6" spans="5:10" ht="12.75">
      <c r="E6" s="1"/>
      <c r="F6" s="109" t="s">
        <v>280</v>
      </c>
      <c r="G6" s="110"/>
      <c r="H6" s="111" t="s">
        <v>1832</v>
      </c>
      <c r="I6" s="416"/>
      <c r="J6" s="416"/>
    </row>
    <row r="7" spans="5:10" ht="12.75">
      <c r="E7" s="1"/>
      <c r="F7" s="109" t="s">
        <v>281</v>
      </c>
      <c r="G7" s="110"/>
      <c r="H7" s="563" t="s">
        <v>1134</v>
      </c>
      <c r="I7" s="416"/>
      <c r="J7" s="416"/>
    </row>
    <row r="8" spans="5:10" ht="6" customHeight="1">
      <c r="E8" s="1"/>
      <c r="F8" s="256"/>
      <c r="G8" s="256"/>
      <c r="H8" s="224"/>
      <c r="I8" s="224"/>
      <c r="J8" s="224"/>
    </row>
    <row r="9" spans="2:11" ht="15.75" customHeight="1">
      <c r="B9" s="771" t="s">
        <v>1143</v>
      </c>
      <c r="C9" s="772"/>
      <c r="D9" s="772"/>
      <c r="E9" s="772"/>
      <c r="F9" s="772"/>
      <c r="G9" s="772"/>
      <c r="H9" s="772"/>
      <c r="I9" s="772"/>
      <c r="J9" s="772"/>
      <c r="K9" s="4"/>
    </row>
    <row r="10" spans="2:10" ht="15.75" customHeight="1">
      <c r="B10" s="318" t="s">
        <v>1430</v>
      </c>
      <c r="C10" s="773" t="s">
        <v>1429</v>
      </c>
      <c r="D10" s="773"/>
      <c r="E10" s="773"/>
      <c r="F10" s="773"/>
      <c r="G10" s="773"/>
      <c r="H10" s="773"/>
      <c r="I10" s="773"/>
      <c r="J10" s="773"/>
    </row>
    <row r="11" spans="2:17" ht="12.75" customHeight="1">
      <c r="B11" s="774" t="s">
        <v>1213</v>
      </c>
      <c r="C11" s="775" t="s">
        <v>1210</v>
      </c>
      <c r="D11" s="775" t="s">
        <v>26</v>
      </c>
      <c r="E11" s="775" t="s">
        <v>34</v>
      </c>
      <c r="F11" s="775" t="s">
        <v>1211</v>
      </c>
      <c r="G11" s="775" t="s">
        <v>1214</v>
      </c>
      <c r="H11" s="775" t="s">
        <v>1215</v>
      </c>
      <c r="I11" s="564" t="s">
        <v>27</v>
      </c>
      <c r="J11" s="775" t="s">
        <v>1212</v>
      </c>
      <c r="K11" s="104" t="s">
        <v>113</v>
      </c>
      <c r="L11" s="104" t="s">
        <v>8</v>
      </c>
      <c r="Q11" s="527" t="s">
        <v>1215</v>
      </c>
    </row>
    <row r="12" spans="2:14" ht="15" customHeight="1">
      <c r="B12" s="774"/>
      <c r="C12" s="776"/>
      <c r="D12" s="776"/>
      <c r="E12" s="776"/>
      <c r="F12" s="776"/>
      <c r="G12" s="776"/>
      <c r="H12" s="776"/>
      <c r="I12" s="294">
        <v>0.2696</v>
      </c>
      <c r="J12" s="776"/>
      <c r="K12" s="235"/>
      <c r="N12" s="1">
        <f>J313*0.02</f>
        <v>3516.7008</v>
      </c>
    </row>
    <row r="13" spans="2:11" ht="15" customHeight="1">
      <c r="B13" s="636" t="s">
        <v>1640</v>
      </c>
      <c r="C13" s="569"/>
      <c r="D13" s="637" t="s">
        <v>1641</v>
      </c>
      <c r="E13" s="638"/>
      <c r="F13" s="638"/>
      <c r="G13" s="639"/>
      <c r="H13" s="639"/>
      <c r="I13" s="639"/>
      <c r="J13" s="639"/>
      <c r="K13" s="235"/>
    </row>
    <row r="14" spans="2:11" ht="15" customHeight="1">
      <c r="B14" s="618" t="s">
        <v>1636</v>
      </c>
      <c r="C14" s="571"/>
      <c r="D14" s="619" t="s">
        <v>1637</v>
      </c>
      <c r="E14" s="620"/>
      <c r="F14" s="620"/>
      <c r="G14" s="621"/>
      <c r="H14" s="621"/>
      <c r="I14" s="621"/>
      <c r="J14" s="652"/>
      <c r="K14" s="235"/>
    </row>
    <row r="15" spans="2:11" ht="15" customHeight="1">
      <c r="B15" s="580" t="s">
        <v>1638</v>
      </c>
      <c r="C15" s="580"/>
      <c r="D15" s="583" t="s">
        <v>1639</v>
      </c>
      <c r="E15" s="580"/>
      <c r="F15" s="580"/>
      <c r="G15" s="580"/>
      <c r="H15" s="580"/>
      <c r="I15" s="580"/>
      <c r="J15" s="640"/>
      <c r="K15" s="235"/>
    </row>
    <row r="16" spans="2:11" ht="15" customHeight="1">
      <c r="B16" s="326" t="s">
        <v>1645</v>
      </c>
      <c r="C16" s="335" t="s">
        <v>1421</v>
      </c>
      <c r="D16" s="321" t="s">
        <v>112</v>
      </c>
      <c r="E16" s="322">
        <v>1</v>
      </c>
      <c r="F16" s="355" t="s">
        <v>5</v>
      </c>
      <c r="G16" s="336">
        <f>'Composições Unitárias'!G30</f>
        <v>3215.953464</v>
      </c>
      <c r="H16" s="336">
        <f>E16*G16</f>
        <v>3215.953464</v>
      </c>
      <c r="I16" s="336">
        <f>ROUND(H16*$I$12,2)</f>
        <v>867.02</v>
      </c>
      <c r="J16" s="653">
        <f>ROUND(SUM(H16:I16),2)</f>
        <v>4082.97</v>
      </c>
      <c r="K16" s="235"/>
    </row>
    <row r="17" spans="2:11" ht="15" customHeight="1">
      <c r="B17" s="326" t="s">
        <v>1646</v>
      </c>
      <c r="C17" s="303" t="s">
        <v>1208</v>
      </c>
      <c r="D17" s="304" t="s">
        <v>140</v>
      </c>
      <c r="E17" s="313">
        <v>1</v>
      </c>
      <c r="F17" s="308" t="s">
        <v>272</v>
      </c>
      <c r="G17" s="338">
        <f>'Composições Unitárias'!G420</f>
        <v>3305.871967619863</v>
      </c>
      <c r="H17" s="338">
        <f>E17*G17</f>
        <v>3305.871967619863</v>
      </c>
      <c r="I17" s="338">
        <f>(H17*$I$12)</f>
        <v>891.2630824703151</v>
      </c>
      <c r="J17" s="338">
        <f>ROUND(SUM(H17:I17),2)</f>
        <v>4197.14</v>
      </c>
      <c r="K17" s="235"/>
    </row>
    <row r="18" spans="1:12" ht="12.75">
      <c r="A18" s="64">
        <f>IF(J18&gt;0,"x","")</f>
      </c>
      <c r="B18" s="618" t="s">
        <v>1431</v>
      </c>
      <c r="C18" s="571"/>
      <c r="D18" s="619" t="s">
        <v>1432</v>
      </c>
      <c r="E18" s="620"/>
      <c r="F18" s="620"/>
      <c r="G18" s="621"/>
      <c r="H18" s="621"/>
      <c r="I18" s="621"/>
      <c r="J18" s="652"/>
      <c r="K18" s="115"/>
      <c r="L18" s="443"/>
    </row>
    <row r="19" spans="1:12" ht="12.75">
      <c r="A19" s="64"/>
      <c r="B19" s="580" t="s">
        <v>1433</v>
      </c>
      <c r="C19" s="580"/>
      <c r="D19" s="583" t="s">
        <v>1629</v>
      </c>
      <c r="E19" s="580"/>
      <c r="F19" s="580"/>
      <c r="G19" s="580"/>
      <c r="H19" s="580"/>
      <c r="I19" s="580"/>
      <c r="J19" s="640"/>
      <c r="K19" s="115"/>
      <c r="L19" s="443"/>
    </row>
    <row r="20" spans="1:17" ht="15">
      <c r="A20" s="64" t="str">
        <f>IF(J20&gt;0,"x","")</f>
        <v>x</v>
      </c>
      <c r="B20" s="326" t="s">
        <v>1647</v>
      </c>
      <c r="C20" s="320" t="s">
        <v>282</v>
      </c>
      <c r="D20" s="379" t="s">
        <v>114</v>
      </c>
      <c r="E20" s="327">
        <f>2*2.1</f>
        <v>4.2</v>
      </c>
      <c r="F20" s="319" t="s">
        <v>25</v>
      </c>
      <c r="G20" s="336">
        <f>'Composições Unitárias'!G51</f>
        <v>85.208105875</v>
      </c>
      <c r="H20" s="336">
        <f>E20*G20</f>
        <v>357.874044675</v>
      </c>
      <c r="I20" s="336">
        <f>ROUND(H20*$I$12,2)</f>
        <v>96.48</v>
      </c>
      <c r="J20" s="336">
        <f>ROUND(SUM(H20:I20),2)</f>
        <v>454.35</v>
      </c>
      <c r="K20" s="117" t="s">
        <v>118</v>
      </c>
      <c r="L20" s="443">
        <f>H20/$J$313</f>
        <v>0.0020352828689605895</v>
      </c>
      <c r="M20" s="71"/>
      <c r="Q20" s="527">
        <v>357.874044675</v>
      </c>
    </row>
    <row r="21" spans="1:13" ht="15">
      <c r="A21" s="64"/>
      <c r="B21" s="326" t="s">
        <v>1648</v>
      </c>
      <c r="C21" s="303" t="s">
        <v>373</v>
      </c>
      <c r="D21" s="304" t="s">
        <v>116</v>
      </c>
      <c r="E21" s="314">
        <v>60</v>
      </c>
      <c r="F21" s="308" t="s">
        <v>25</v>
      </c>
      <c r="G21" s="338">
        <f>'Composições Unitárias'!G123</f>
        <v>10.28558</v>
      </c>
      <c r="H21" s="338">
        <f>E21*G21</f>
        <v>617.1347999999999</v>
      </c>
      <c r="I21" s="338">
        <f>ROUND(H21*$I$12,2)</f>
        <v>166.38</v>
      </c>
      <c r="J21" s="338">
        <f>ROUND(SUM(H21:I21),2)</f>
        <v>783.51</v>
      </c>
      <c r="K21" s="117"/>
      <c r="L21" s="443"/>
      <c r="M21" s="71"/>
    </row>
    <row r="22" spans="1:13" ht="15">
      <c r="A22" s="64"/>
      <c r="B22" s="580" t="s">
        <v>1434</v>
      </c>
      <c r="C22" s="580"/>
      <c r="D22" s="583" t="s">
        <v>1630</v>
      </c>
      <c r="E22" s="580"/>
      <c r="F22" s="580"/>
      <c r="G22" s="580"/>
      <c r="H22" s="580"/>
      <c r="I22" s="580"/>
      <c r="J22" s="640"/>
      <c r="K22" s="117"/>
      <c r="L22" s="443"/>
      <c r="M22" s="71"/>
    </row>
    <row r="23" spans="1:17" ht="15">
      <c r="A23" s="64"/>
      <c r="B23" s="641" t="s">
        <v>1649</v>
      </c>
      <c r="C23" s="512" t="s">
        <v>1304</v>
      </c>
      <c r="D23" s="513" t="s">
        <v>1305</v>
      </c>
      <c r="E23" s="514">
        <v>1</v>
      </c>
      <c r="F23" s="325" t="s">
        <v>1435</v>
      </c>
      <c r="G23" s="337">
        <f>'Composições Unitárias'!G108*6</f>
        <v>2741.4723599999998</v>
      </c>
      <c r="H23" s="337">
        <f>E23*G23</f>
        <v>2741.4723599999998</v>
      </c>
      <c r="I23" s="337">
        <f>ROUND(H23*$I$12,2)</f>
        <v>739.1</v>
      </c>
      <c r="J23" s="337">
        <f>ROUND(SUM(H23:I23),2)</f>
        <v>3480.57</v>
      </c>
      <c r="K23" s="116"/>
      <c r="L23" s="443">
        <f>H23/$J$313</f>
        <v>0.015591160669682217</v>
      </c>
      <c r="M23" s="71"/>
      <c r="Q23" s="527">
        <v>2741.4723599999998</v>
      </c>
    </row>
    <row r="24" spans="1:13" ht="15">
      <c r="A24" s="64"/>
      <c r="B24" s="580" t="s">
        <v>1642</v>
      </c>
      <c r="C24" s="580"/>
      <c r="D24" s="583" t="s">
        <v>1643</v>
      </c>
      <c r="E24" s="580"/>
      <c r="F24" s="580"/>
      <c r="G24" s="580"/>
      <c r="H24" s="580"/>
      <c r="I24" s="580"/>
      <c r="J24" s="640"/>
      <c r="K24" s="302"/>
      <c r="L24" s="443"/>
      <c r="M24" s="71"/>
    </row>
    <row r="25" spans="1:13" ht="15.75" thickBot="1">
      <c r="A25" s="64"/>
      <c r="B25" s="326" t="s">
        <v>1650</v>
      </c>
      <c r="C25" s="320" t="s">
        <v>283</v>
      </c>
      <c r="D25" s="332" t="s">
        <v>115</v>
      </c>
      <c r="E25" s="561">
        <v>5</v>
      </c>
      <c r="F25" s="319" t="s">
        <v>57</v>
      </c>
      <c r="G25" s="336">
        <f>'Composições Unitárias'!G88</f>
        <v>26.702112</v>
      </c>
      <c r="H25" s="336">
        <f>E25*G25</f>
        <v>133.51056</v>
      </c>
      <c r="I25" s="336">
        <f>ROUND(H25*$I$12,2)</f>
        <v>35.99</v>
      </c>
      <c r="J25" s="336">
        <f>ROUND(SUM(H25:I25),2)</f>
        <v>169.5</v>
      </c>
      <c r="K25" s="635"/>
      <c r="L25" s="443"/>
      <c r="M25" s="71"/>
    </row>
    <row r="26" spans="1:13" ht="15" customHeight="1">
      <c r="A26" s="64">
        <f>IF(J26&gt;0,"x","")</f>
      </c>
      <c r="B26" s="571" t="s">
        <v>1436</v>
      </c>
      <c r="C26" s="571"/>
      <c r="D26" s="571" t="s">
        <v>1437</v>
      </c>
      <c r="E26" s="571"/>
      <c r="F26" s="571"/>
      <c r="G26" s="571"/>
      <c r="H26" s="571"/>
      <c r="I26" s="571"/>
      <c r="J26" s="571"/>
      <c r="K26" s="115"/>
      <c r="L26" s="443"/>
      <c r="M26" s="71"/>
    </row>
    <row r="27" spans="1:13" ht="12.75" customHeight="1">
      <c r="A27" s="64"/>
      <c r="B27" s="571" t="s">
        <v>1580</v>
      </c>
      <c r="C27" s="571"/>
      <c r="D27" s="622" t="s">
        <v>1581</v>
      </c>
      <c r="E27" s="571"/>
      <c r="F27" s="571"/>
      <c r="G27" s="571"/>
      <c r="H27" s="571"/>
      <c r="I27" s="571"/>
      <c r="J27" s="642"/>
      <c r="K27" s="115"/>
      <c r="L27" s="443"/>
      <c r="M27" s="71"/>
    </row>
    <row r="28" spans="1:13" ht="12.75" customHeight="1">
      <c r="A28" s="64"/>
      <c r="B28" s="578" t="s">
        <v>1582</v>
      </c>
      <c r="C28" s="578"/>
      <c r="D28" s="579" t="s">
        <v>1583</v>
      </c>
      <c r="E28" s="578"/>
      <c r="F28" s="578"/>
      <c r="G28" s="578"/>
      <c r="H28" s="578"/>
      <c r="I28" s="578"/>
      <c r="J28" s="578"/>
      <c r="K28" s="115"/>
      <c r="L28" s="443"/>
      <c r="M28" s="71"/>
    </row>
    <row r="29" spans="1:17" ht="15">
      <c r="A29" s="64" t="str">
        <f>IF(J29&gt;0,"x","")</f>
        <v>x</v>
      </c>
      <c r="B29" s="326" t="s">
        <v>1644</v>
      </c>
      <c r="C29" s="335" t="s">
        <v>374</v>
      </c>
      <c r="D29" s="379" t="s">
        <v>122</v>
      </c>
      <c r="E29" s="322">
        <v>3</v>
      </c>
      <c r="F29" s="319" t="s">
        <v>111</v>
      </c>
      <c r="G29" s="336">
        <f>'Composições Unitárias'!G179</f>
        <v>82.84325415199999</v>
      </c>
      <c r="H29" s="336">
        <f>E29*G29</f>
        <v>248.52976245599996</v>
      </c>
      <c r="I29" s="336">
        <f>(H29*$I$12)</f>
        <v>67.0036239581376</v>
      </c>
      <c r="J29" s="336">
        <f>ROUND(SUM(H29:I29),2)</f>
        <v>315.53</v>
      </c>
      <c r="K29" s="116" t="s">
        <v>123</v>
      </c>
      <c r="L29" s="443">
        <f>H29/$J$313</f>
        <v>0.0014134256883952137</v>
      </c>
      <c r="M29" s="71"/>
      <c r="Q29" s="527">
        <v>248.52976245599996</v>
      </c>
    </row>
    <row r="30" spans="1:13" ht="15">
      <c r="A30" s="64"/>
      <c r="B30" s="571" t="s">
        <v>1623</v>
      </c>
      <c r="C30" s="571"/>
      <c r="D30" s="622" t="s">
        <v>1624</v>
      </c>
      <c r="E30" s="571"/>
      <c r="F30" s="571"/>
      <c r="G30" s="571"/>
      <c r="H30" s="571"/>
      <c r="I30" s="571"/>
      <c r="J30" s="642"/>
      <c r="K30" s="116"/>
      <c r="L30" s="443"/>
      <c r="M30" s="71"/>
    </row>
    <row r="31" spans="1:13" ht="15">
      <c r="A31" s="64"/>
      <c r="B31" s="655" t="s">
        <v>1651</v>
      </c>
      <c r="C31" s="301" t="s">
        <v>286</v>
      </c>
      <c r="D31" s="304" t="s">
        <v>126</v>
      </c>
      <c r="E31" s="313">
        <v>0.4824</v>
      </c>
      <c r="F31" s="308" t="s">
        <v>24</v>
      </c>
      <c r="G31" s="338">
        <f>'Composições Unitárias'!G226</f>
        <v>58.51056</v>
      </c>
      <c r="H31" s="338">
        <f>E31*G31</f>
        <v>28.225494144</v>
      </c>
      <c r="I31" s="338">
        <f>(H31*$I$12)</f>
        <v>7.6095932212224</v>
      </c>
      <c r="J31" s="338">
        <f>ROUND(SUM(H31:I31),2)</f>
        <v>35.84</v>
      </c>
      <c r="K31" s="606" t="s">
        <v>127</v>
      </c>
      <c r="L31" s="573">
        <f>H31/$J$313</f>
        <v>0.0001605225792538279</v>
      </c>
      <c r="M31" s="71"/>
    </row>
    <row r="32" spans="1:13" ht="15">
      <c r="A32" s="64"/>
      <c r="B32" s="311" t="s">
        <v>1652</v>
      </c>
      <c r="C32" s="335" t="s">
        <v>376</v>
      </c>
      <c r="D32" s="332" t="s">
        <v>131</v>
      </c>
      <c r="E32" s="322">
        <v>16.59</v>
      </c>
      <c r="F32" s="319" t="s">
        <v>25</v>
      </c>
      <c r="G32" s="336">
        <f>'Composições Unitárias'!G273</f>
        <v>30.662495999999997</v>
      </c>
      <c r="H32" s="336">
        <f>E32*G32</f>
        <v>508.69080863999994</v>
      </c>
      <c r="I32" s="336">
        <f>(H32*$I$12)</f>
        <v>137.143042009344</v>
      </c>
      <c r="J32" s="336">
        <f>ROUND(SUM(H32:I32),2)</f>
        <v>645.83</v>
      </c>
      <c r="K32" s="607" t="s">
        <v>119</v>
      </c>
      <c r="L32" s="573">
        <f>H32/$J$313</f>
        <v>0.002893000215656674</v>
      </c>
      <c r="M32" s="71"/>
    </row>
    <row r="33" spans="1:13" ht="15">
      <c r="A33" s="64"/>
      <c r="B33" s="654" t="s">
        <v>1653</v>
      </c>
      <c r="C33" s="303" t="s">
        <v>377</v>
      </c>
      <c r="D33" s="304" t="s">
        <v>135</v>
      </c>
      <c r="E33" s="313">
        <v>2</v>
      </c>
      <c r="F33" s="308" t="s">
        <v>111</v>
      </c>
      <c r="G33" s="338">
        <f>'Composições Unitárias'!G353</f>
        <v>22.81615584</v>
      </c>
      <c r="H33" s="338">
        <f>E33*G33</f>
        <v>45.63231168</v>
      </c>
      <c r="I33" s="337">
        <f>(H33*$I$12)</f>
        <v>12.302471228928</v>
      </c>
      <c r="J33" s="338">
        <f>ROUND(SUM(H33:I33),2)</f>
        <v>57.93</v>
      </c>
      <c r="K33" s="606" t="s">
        <v>119</v>
      </c>
      <c r="L33" s="573">
        <f>H33/$J$313</f>
        <v>0.00025951773707902587</v>
      </c>
      <c r="M33" s="71"/>
    </row>
    <row r="34" spans="1:13" ht="15">
      <c r="A34" s="64"/>
      <c r="B34" s="311" t="s">
        <v>1654</v>
      </c>
      <c r="C34" s="335" t="s">
        <v>1291</v>
      </c>
      <c r="D34" s="332" t="s">
        <v>136</v>
      </c>
      <c r="E34" s="322">
        <v>4.2</v>
      </c>
      <c r="F34" s="319" t="s">
        <v>25</v>
      </c>
      <c r="G34" s="336">
        <f>'Composições Unitárias'!G367</f>
        <v>20.966037120000003</v>
      </c>
      <c r="H34" s="336">
        <f>E34*G34</f>
        <v>88.05735590400002</v>
      </c>
      <c r="I34" s="336">
        <f>(H34*$I$12)</f>
        <v>23.740263151718406</v>
      </c>
      <c r="J34" s="336">
        <f>ROUND(SUM(H34:I34),2)</f>
        <v>111.8</v>
      </c>
      <c r="K34" s="606" t="s">
        <v>137</v>
      </c>
      <c r="L34" s="573">
        <f>H34/$J$313</f>
        <v>0.0005007952675644173</v>
      </c>
      <c r="M34" s="71"/>
    </row>
    <row r="35" spans="2:13" ht="15">
      <c r="B35" s="654" t="s">
        <v>1655</v>
      </c>
      <c r="C35" s="335" t="s">
        <v>378</v>
      </c>
      <c r="D35" s="332" t="s">
        <v>139</v>
      </c>
      <c r="E35" s="322">
        <v>4.2</v>
      </c>
      <c r="F35" s="319" t="s">
        <v>25</v>
      </c>
      <c r="G35" s="336">
        <f>'Composições Unitárias'!G403</f>
        <v>18.003106799999998</v>
      </c>
      <c r="H35" s="336">
        <f>E35*G35</f>
        <v>75.61304856</v>
      </c>
      <c r="I35" s="336">
        <f>(H35*$I$12)</f>
        <v>20.385277891776</v>
      </c>
      <c r="J35" s="336">
        <f>ROUND(SUM(H35:I35),2)</f>
        <v>96</v>
      </c>
      <c r="K35" s="606" t="s">
        <v>137</v>
      </c>
      <c r="L35" s="573">
        <f>H35/$J$313</f>
        <v>0.00043002264258591456</v>
      </c>
      <c r="M35" s="71"/>
    </row>
    <row r="36" spans="1:13" ht="15">
      <c r="A36" s="64"/>
      <c r="B36" s="569" t="s">
        <v>1586</v>
      </c>
      <c r="C36" s="569"/>
      <c r="D36" s="575" t="s">
        <v>176</v>
      </c>
      <c r="E36" s="569"/>
      <c r="F36" s="569"/>
      <c r="G36" s="569"/>
      <c r="H36" s="569"/>
      <c r="I36" s="569"/>
      <c r="J36" s="569"/>
      <c r="K36" s="116"/>
      <c r="L36" s="443"/>
      <c r="M36" s="71"/>
    </row>
    <row r="37" spans="1:13" ht="15">
      <c r="A37" s="64"/>
      <c r="B37" s="326" t="s">
        <v>1656</v>
      </c>
      <c r="C37" s="320" t="s">
        <v>417</v>
      </c>
      <c r="D37" s="379" t="s">
        <v>128</v>
      </c>
      <c r="E37" s="322">
        <v>52.5</v>
      </c>
      <c r="F37" s="319" t="s">
        <v>25</v>
      </c>
      <c r="G37" s="336">
        <f>'Composições Unitárias'!G241</f>
        <v>35.13411</v>
      </c>
      <c r="H37" s="336">
        <f>E37*G37</f>
        <v>1844.540775</v>
      </c>
      <c r="I37" s="336">
        <f>(H37*$I$12)</f>
        <v>497.28819294</v>
      </c>
      <c r="J37" s="336">
        <f>ROUND(SUM(H37:I37),2)</f>
        <v>2341.83</v>
      </c>
      <c r="K37" s="116" t="s">
        <v>129</v>
      </c>
      <c r="L37" s="443">
        <f>H37/$J$313</f>
        <v>0.010490177469746644</v>
      </c>
      <c r="M37" s="71"/>
    </row>
    <row r="38" spans="1:13" ht="15">
      <c r="A38" s="64"/>
      <c r="B38" s="326" t="s">
        <v>1657</v>
      </c>
      <c r="C38" s="320" t="s">
        <v>285</v>
      </c>
      <c r="D38" s="379" t="s">
        <v>125</v>
      </c>
      <c r="E38" s="322">
        <v>50</v>
      </c>
      <c r="F38" s="319" t="s">
        <v>4</v>
      </c>
      <c r="G38" s="336">
        <f>'Composições Unitárias'!G211</f>
        <v>25.744033351999995</v>
      </c>
      <c r="H38" s="336">
        <f>E38*G38</f>
        <v>1287.2016675999998</v>
      </c>
      <c r="I38" s="336">
        <f>(H38*$I$12)</f>
        <v>347.02956958496</v>
      </c>
      <c r="J38" s="336">
        <f>ROUND(SUM(H38:I38),2)</f>
        <v>1634.23</v>
      </c>
      <c r="K38" s="116" t="s">
        <v>117</v>
      </c>
      <c r="L38" s="443">
        <f>H38/$J$313</f>
        <v>0.007320507150338179</v>
      </c>
      <c r="M38" s="71"/>
    </row>
    <row r="39" spans="1:13" ht="15">
      <c r="A39" s="64"/>
      <c r="B39" s="569" t="s">
        <v>1587</v>
      </c>
      <c r="C39" s="575"/>
      <c r="D39" s="575" t="s">
        <v>1620</v>
      </c>
      <c r="E39" s="575"/>
      <c r="F39" s="575"/>
      <c r="G39" s="575"/>
      <c r="H39" s="575"/>
      <c r="I39" s="575"/>
      <c r="J39" s="575"/>
      <c r="K39" s="116"/>
      <c r="L39" s="443"/>
      <c r="M39" s="71"/>
    </row>
    <row r="40" spans="1:13" ht="15">
      <c r="A40" s="64"/>
      <c r="B40" s="326" t="s">
        <v>1658</v>
      </c>
      <c r="C40" s="320" t="s">
        <v>284</v>
      </c>
      <c r="D40" s="379" t="s">
        <v>124</v>
      </c>
      <c r="E40" s="322">
        <v>50</v>
      </c>
      <c r="F40" s="319" t="s">
        <v>4</v>
      </c>
      <c r="G40" s="336">
        <f>'Composições Unitárias'!G194</f>
        <v>15.331840512</v>
      </c>
      <c r="H40" s="336">
        <f>E40*G40</f>
        <v>766.5920255999999</v>
      </c>
      <c r="I40" s="336">
        <f>(H40*$I$12)</f>
        <v>206.67321010176</v>
      </c>
      <c r="J40" s="336">
        <f>ROUND(SUM(H40:I40),2)</f>
        <v>973.27</v>
      </c>
      <c r="K40" s="116" t="s">
        <v>117</v>
      </c>
      <c r="L40" s="443">
        <f>H40/$J$313</f>
        <v>0.004359722758330762</v>
      </c>
      <c r="M40" s="71"/>
    </row>
    <row r="41" spans="1:13" ht="15">
      <c r="A41" s="64"/>
      <c r="B41" s="326" t="s">
        <v>1659</v>
      </c>
      <c r="C41" s="335" t="s">
        <v>416</v>
      </c>
      <c r="D41" s="332" t="s">
        <v>138</v>
      </c>
      <c r="E41" s="322">
        <v>5.6</v>
      </c>
      <c r="F41" s="319" t="s">
        <v>4</v>
      </c>
      <c r="G41" s="336">
        <f>'Composições Unitárias'!G386</f>
        <v>18.3846754</v>
      </c>
      <c r="H41" s="336">
        <f>E41*G41</f>
        <v>102.95418224</v>
      </c>
      <c r="I41" s="336">
        <f>(H41*$I$12)</f>
        <v>27.756447531903998</v>
      </c>
      <c r="J41" s="336">
        <f>ROUND(SUM(H41:I41),2)</f>
        <v>130.71</v>
      </c>
      <c r="K41" s="118" t="s">
        <v>119</v>
      </c>
      <c r="L41" s="443">
        <f>H41/$J$313</f>
        <v>0.0005855157324728905</v>
      </c>
      <c r="M41" s="71"/>
    </row>
    <row r="42" spans="1:13" ht="15">
      <c r="A42" s="64"/>
      <c r="B42" s="569" t="s">
        <v>1584</v>
      </c>
      <c r="C42" s="575"/>
      <c r="D42" s="575" t="s">
        <v>1585</v>
      </c>
      <c r="E42" s="575"/>
      <c r="F42" s="575"/>
      <c r="G42" s="575"/>
      <c r="H42" s="575"/>
      <c r="I42" s="575"/>
      <c r="J42" s="575"/>
      <c r="K42" s="116"/>
      <c r="L42" s="443"/>
      <c r="M42" s="71"/>
    </row>
    <row r="43" spans="1:13" ht="15">
      <c r="A43" s="64"/>
      <c r="B43" s="326" t="s">
        <v>1660</v>
      </c>
      <c r="C43" s="320" t="s">
        <v>288</v>
      </c>
      <c r="D43" s="332" t="s">
        <v>134</v>
      </c>
      <c r="E43" s="322">
        <v>70</v>
      </c>
      <c r="F43" s="319" t="s">
        <v>25</v>
      </c>
      <c r="G43" s="336">
        <f>'Composições Unitárias'!G339</f>
        <v>7.86226392</v>
      </c>
      <c r="H43" s="336">
        <f>E43*G43</f>
        <v>550.3584744</v>
      </c>
      <c r="I43" s="336">
        <f>(H43*$I$12)</f>
        <v>148.37664469824</v>
      </c>
      <c r="J43" s="336">
        <f>ROUND(SUM(H43:I43),2)</f>
        <v>698.74</v>
      </c>
      <c r="K43" s="118" t="s">
        <v>119</v>
      </c>
      <c r="L43" s="443">
        <f>H43/$J$313</f>
        <v>0.003129970422277607</v>
      </c>
      <c r="M43" s="71"/>
    </row>
    <row r="44" spans="1:13" ht="15">
      <c r="A44" s="64"/>
      <c r="B44" s="571" t="s">
        <v>1625</v>
      </c>
      <c r="C44" s="571"/>
      <c r="D44" s="622" t="s">
        <v>1626</v>
      </c>
      <c r="E44" s="571"/>
      <c r="F44" s="571"/>
      <c r="G44" s="571"/>
      <c r="H44" s="571"/>
      <c r="I44" s="571"/>
      <c r="J44" s="642"/>
      <c r="K44" s="118"/>
      <c r="L44" s="443"/>
      <c r="M44" s="71"/>
    </row>
    <row r="45" spans="1:13" ht="15">
      <c r="A45" s="64"/>
      <c r="B45" s="578" t="s">
        <v>1627</v>
      </c>
      <c r="C45" s="578"/>
      <c r="D45" s="579" t="s">
        <v>1628</v>
      </c>
      <c r="E45" s="578"/>
      <c r="F45" s="578"/>
      <c r="G45" s="578"/>
      <c r="H45" s="578"/>
      <c r="I45" s="578"/>
      <c r="J45" s="578"/>
      <c r="K45" s="304"/>
      <c r="L45" s="443"/>
      <c r="M45" s="71"/>
    </row>
    <row r="46" spans="1:13" ht="15">
      <c r="A46" s="64"/>
      <c r="B46" s="326" t="s">
        <v>1665</v>
      </c>
      <c r="C46" s="320" t="s">
        <v>287</v>
      </c>
      <c r="D46" s="332" t="s">
        <v>133</v>
      </c>
      <c r="E46" s="322">
        <v>25</v>
      </c>
      <c r="F46" s="319" t="s">
        <v>4</v>
      </c>
      <c r="G46" s="336">
        <f>'Composições Unitárias'!G307</f>
        <v>13.632404999999999</v>
      </c>
      <c r="H46" s="336">
        <f>E46*G46</f>
        <v>340.81012499999997</v>
      </c>
      <c r="I46" s="336">
        <f>(H46*$I$12)</f>
        <v>91.8824097</v>
      </c>
      <c r="J46" s="653">
        <f>ROUND(SUM(H46:I46),2)</f>
        <v>432.69</v>
      </c>
      <c r="K46" s="606" t="s">
        <v>119</v>
      </c>
      <c r="L46" s="573">
        <f>H46/$J$313</f>
        <v>0.0019382378222224646</v>
      </c>
      <c r="M46" s="71"/>
    </row>
    <row r="47" spans="1:13" ht="15">
      <c r="A47" s="64"/>
      <c r="B47" s="569" t="s">
        <v>1621</v>
      </c>
      <c r="C47" s="569"/>
      <c r="D47" s="575" t="s">
        <v>1622</v>
      </c>
      <c r="E47" s="569"/>
      <c r="F47" s="569"/>
      <c r="G47" s="569"/>
      <c r="H47" s="569"/>
      <c r="I47" s="569"/>
      <c r="J47" s="569"/>
      <c r="L47" s="1"/>
      <c r="M47" s="71"/>
    </row>
    <row r="48" spans="1:13" ht="15">
      <c r="A48" s="64"/>
      <c r="B48" s="326" t="s">
        <v>1666</v>
      </c>
      <c r="C48" s="335" t="s">
        <v>1290</v>
      </c>
      <c r="D48" s="332" t="s">
        <v>132</v>
      </c>
      <c r="E48" s="322">
        <v>9</v>
      </c>
      <c r="F48" s="319" t="s">
        <v>111</v>
      </c>
      <c r="G48" s="336">
        <f>'Composições Unitárias'!G290</f>
        <v>25.380692000000003</v>
      </c>
      <c r="H48" s="336">
        <f>E48*G48</f>
        <v>228.42622800000004</v>
      </c>
      <c r="I48" s="336">
        <f>(H48*$I$12)</f>
        <v>61.583711068800014</v>
      </c>
      <c r="J48" s="653">
        <f>ROUND(SUM(H48:I48),2)</f>
        <v>290.01</v>
      </c>
      <c r="K48" s="606" t="s">
        <v>117</v>
      </c>
      <c r="L48" s="573">
        <f>H48/$J$313</f>
        <v>0.0012990939007378735</v>
      </c>
      <c r="M48" s="71"/>
    </row>
    <row r="49" spans="1:13" ht="15">
      <c r="A49" s="64"/>
      <c r="B49" s="571" t="s">
        <v>1661</v>
      </c>
      <c r="C49" s="571"/>
      <c r="D49" s="622" t="s">
        <v>1662</v>
      </c>
      <c r="E49" s="571"/>
      <c r="F49" s="571"/>
      <c r="G49" s="571"/>
      <c r="H49" s="571"/>
      <c r="I49" s="571"/>
      <c r="J49" s="642"/>
      <c r="K49" s="118"/>
      <c r="L49" s="443"/>
      <c r="M49" s="71"/>
    </row>
    <row r="50" spans="1:13" ht="15">
      <c r="A50" s="64"/>
      <c r="B50" s="326" t="s">
        <v>1663</v>
      </c>
      <c r="C50" s="335" t="s">
        <v>375</v>
      </c>
      <c r="D50" s="332" t="s">
        <v>130</v>
      </c>
      <c r="E50" s="322">
        <v>35</v>
      </c>
      <c r="F50" s="319" t="s">
        <v>111</v>
      </c>
      <c r="G50" s="336">
        <f>'Composições Unitárias'!G256</f>
        <v>24.829956</v>
      </c>
      <c r="H50" s="336">
        <f>E50*G50</f>
        <v>869.04846</v>
      </c>
      <c r="I50" s="336">
        <f>(H50*$I$12)</f>
        <v>234.295464816</v>
      </c>
      <c r="J50" s="653">
        <f>ROUND(SUM(H50:I50),2)</f>
        <v>1103.34</v>
      </c>
      <c r="K50" s="607" t="s">
        <v>119</v>
      </c>
      <c r="L50" s="573">
        <f>H50/$J$313</f>
        <v>0.00494240772487668</v>
      </c>
      <c r="M50" s="71"/>
    </row>
    <row r="51" spans="1:13" ht="15">
      <c r="A51" s="64"/>
      <c r="B51" s="309" t="s">
        <v>1664</v>
      </c>
      <c r="C51" s="303" t="s">
        <v>1289</v>
      </c>
      <c r="D51" s="304" t="s">
        <v>108</v>
      </c>
      <c r="E51" s="313">
        <v>12</v>
      </c>
      <c r="F51" s="308" t="s">
        <v>111</v>
      </c>
      <c r="G51" s="338">
        <f>'Composições Unitárias'!G322</f>
        <v>18.294733799999996</v>
      </c>
      <c r="H51" s="338">
        <f>E51*G51</f>
        <v>219.53680559999995</v>
      </c>
      <c r="I51" s="338">
        <f>(H51*$I$12)</f>
        <v>59.18712278975999</v>
      </c>
      <c r="J51" s="338">
        <f>ROUND(SUM(H51:I51),2)</f>
        <v>278.72</v>
      </c>
      <c r="K51" s="606" t="s">
        <v>119</v>
      </c>
      <c r="L51" s="573">
        <f>H51/$J$313</f>
        <v>0.0012485384346601221</v>
      </c>
      <c r="M51" s="71"/>
    </row>
    <row r="52" spans="1:13" ht="15">
      <c r="A52" s="64"/>
      <c r="B52" s="380"/>
      <c r="C52" s="381"/>
      <c r="D52" s="382"/>
      <c r="E52" s="383"/>
      <c r="F52" s="384"/>
      <c r="G52" s="385" t="s">
        <v>1618</v>
      </c>
      <c r="H52" s="386">
        <f>SUM(H16:H51)</f>
        <v>17576.034721118864</v>
      </c>
      <c r="I52" s="386">
        <f>SUM(I16:I51)</f>
        <v>4738.490127162865</v>
      </c>
      <c r="J52" s="386">
        <f>ROUNDDOWN(SUM(H52:I52),2)</f>
        <v>22314.52</v>
      </c>
      <c r="K52" s="118"/>
      <c r="L52" s="443"/>
      <c r="M52" s="71"/>
    </row>
    <row r="53" spans="1:13" ht="15">
      <c r="A53" s="64"/>
      <c r="B53" s="309"/>
      <c r="C53" s="303"/>
      <c r="D53" s="304"/>
      <c r="E53" s="313"/>
      <c r="F53" s="308"/>
      <c r="G53" s="338"/>
      <c r="H53" s="338"/>
      <c r="I53" s="338"/>
      <c r="J53" s="338"/>
      <c r="K53" s="118"/>
      <c r="L53" s="443"/>
      <c r="M53" s="71"/>
    </row>
    <row r="54" spans="1:13" ht="15">
      <c r="A54" s="64"/>
      <c r="B54" s="318" t="s">
        <v>1440</v>
      </c>
      <c r="C54" s="773" t="s">
        <v>1441</v>
      </c>
      <c r="D54" s="773"/>
      <c r="E54" s="773"/>
      <c r="F54" s="773"/>
      <c r="G54" s="773"/>
      <c r="H54" s="773"/>
      <c r="I54" s="773"/>
      <c r="J54" s="773"/>
      <c r="K54" s="118"/>
      <c r="L54" s="443"/>
      <c r="M54" s="71"/>
    </row>
    <row r="55" spans="1:13" ht="15" customHeight="1">
      <c r="A55" s="64"/>
      <c r="B55" s="777" t="s">
        <v>1213</v>
      </c>
      <c r="C55" s="775" t="s">
        <v>1210</v>
      </c>
      <c r="D55" s="775" t="s">
        <v>26</v>
      </c>
      <c r="E55" s="775" t="s">
        <v>34</v>
      </c>
      <c r="F55" s="775" t="s">
        <v>1211</v>
      </c>
      <c r="G55" s="775" t="s">
        <v>1214</v>
      </c>
      <c r="H55" s="775" t="s">
        <v>1215</v>
      </c>
      <c r="I55" s="564" t="s">
        <v>27</v>
      </c>
      <c r="J55" s="775" t="s">
        <v>1212</v>
      </c>
      <c r="K55" s="118"/>
      <c r="L55" s="443"/>
      <c r="M55" s="71"/>
    </row>
    <row r="56" spans="1:13" ht="12.75" customHeight="1">
      <c r="A56" s="64"/>
      <c r="B56" s="778"/>
      <c r="C56" s="776"/>
      <c r="D56" s="776"/>
      <c r="E56" s="776"/>
      <c r="F56" s="776"/>
      <c r="G56" s="776"/>
      <c r="H56" s="776"/>
      <c r="I56" s="294">
        <v>0.2696</v>
      </c>
      <c r="J56" s="776"/>
      <c r="K56" s="118"/>
      <c r="L56" s="443"/>
      <c r="M56" s="71"/>
    </row>
    <row r="57" spans="1:13" ht="12.75" customHeight="1">
      <c r="A57" s="64"/>
      <c r="B57" s="571" t="s">
        <v>1590</v>
      </c>
      <c r="C57" s="571"/>
      <c r="D57" s="622" t="s">
        <v>1588</v>
      </c>
      <c r="E57" s="571"/>
      <c r="F57" s="571"/>
      <c r="G57" s="571"/>
      <c r="H57" s="571"/>
      <c r="I57" s="571"/>
      <c r="J57" s="571"/>
      <c r="K57" s="118"/>
      <c r="L57" s="443"/>
      <c r="M57" s="71"/>
    </row>
    <row r="58" spans="1:13" ht="12.75" customHeight="1">
      <c r="A58" s="64"/>
      <c r="B58" s="569" t="s">
        <v>1589</v>
      </c>
      <c r="C58" s="569"/>
      <c r="D58" s="575" t="s">
        <v>1591</v>
      </c>
      <c r="E58" s="569"/>
      <c r="F58" s="569"/>
      <c r="G58" s="569"/>
      <c r="H58" s="569"/>
      <c r="I58" s="569"/>
      <c r="J58" s="569"/>
      <c r="K58" s="118"/>
      <c r="L58" s="443"/>
      <c r="M58" s="71"/>
    </row>
    <row r="59" spans="1:17" ht="15">
      <c r="A59" s="64" t="str">
        <f>IF(J59&gt;0,"x","")</f>
        <v>x</v>
      </c>
      <c r="B59" s="319" t="s">
        <v>1592</v>
      </c>
      <c r="C59" s="332" t="s">
        <v>289</v>
      </c>
      <c r="D59" s="321" t="s">
        <v>141</v>
      </c>
      <c r="E59" s="322">
        <v>104.95</v>
      </c>
      <c r="F59" s="319" t="s">
        <v>25</v>
      </c>
      <c r="G59" s="336">
        <f>'Composições Unitárias'!G440</f>
        <v>72.42267438815999</v>
      </c>
      <c r="H59" s="336">
        <f>E59*G59</f>
        <v>7600.759677037391</v>
      </c>
      <c r="I59" s="336">
        <f>ROUND(H59*$I$12,2)</f>
        <v>2049.16</v>
      </c>
      <c r="J59" s="336">
        <f>ROUND(SUM(H59:I59),2)</f>
        <v>9649.92</v>
      </c>
      <c r="K59" s="113" t="s">
        <v>142</v>
      </c>
      <c r="L59" s="443">
        <f>H59/$J$313</f>
        <v>0.04322664968846591</v>
      </c>
      <c r="M59" s="71"/>
      <c r="Q59" s="527">
        <v>7600.759677037391</v>
      </c>
    </row>
    <row r="60" spans="1:17" ht="15">
      <c r="A60" s="64" t="str">
        <f>IF(J60&gt;0,"x","")</f>
        <v>x</v>
      </c>
      <c r="B60" s="308" t="s">
        <v>1595</v>
      </c>
      <c r="C60" s="301" t="s">
        <v>1145</v>
      </c>
      <c r="D60" s="300" t="s">
        <v>143</v>
      </c>
      <c r="E60" s="313">
        <f>9.5*1.8</f>
        <v>17.1</v>
      </c>
      <c r="F60" s="308" t="s">
        <v>25</v>
      </c>
      <c r="G60" s="338">
        <f>'Composições Unitárias'!G457</f>
        <v>686.8465709999999</v>
      </c>
      <c r="H60" s="338">
        <f>E60*G60</f>
        <v>11745.0763641</v>
      </c>
      <c r="I60" s="338">
        <f>ROUND(H60*$I$12,2)</f>
        <v>3166.47</v>
      </c>
      <c r="J60" s="338">
        <f>ROUND(SUM(H60:I60),2)</f>
        <v>14911.55</v>
      </c>
      <c r="K60" s="113" t="s">
        <v>129</v>
      </c>
      <c r="L60" s="443">
        <f>H60/$J$313</f>
        <v>0.06679599449631882</v>
      </c>
      <c r="M60" s="71"/>
      <c r="Q60" s="527">
        <v>11745.0763641</v>
      </c>
    </row>
    <row r="61" spans="1:13" ht="15">
      <c r="A61" s="64"/>
      <c r="B61" s="571" t="s">
        <v>1442</v>
      </c>
      <c r="C61" s="571"/>
      <c r="D61" s="622" t="s">
        <v>1443</v>
      </c>
      <c r="E61" s="571"/>
      <c r="F61" s="571"/>
      <c r="G61" s="571"/>
      <c r="H61" s="571"/>
      <c r="I61" s="571"/>
      <c r="J61" s="642"/>
      <c r="K61" s="113"/>
      <c r="L61" s="443"/>
      <c r="M61" s="71"/>
    </row>
    <row r="62" spans="1:13" ht="15">
      <c r="A62" s="64"/>
      <c r="B62" s="580" t="s">
        <v>1593</v>
      </c>
      <c r="C62" s="583"/>
      <c r="D62" s="583" t="s">
        <v>1594</v>
      </c>
      <c r="E62" s="583"/>
      <c r="F62" s="583"/>
      <c r="G62" s="583"/>
      <c r="H62" s="583"/>
      <c r="I62" s="583"/>
      <c r="J62" s="583"/>
      <c r="K62" s="113"/>
      <c r="L62" s="443"/>
      <c r="M62" s="71"/>
    </row>
    <row r="63" spans="1:17" ht="63.75">
      <c r="A63" s="64" t="str">
        <f>IF(J63&gt;0,"x","")</f>
        <v>x</v>
      </c>
      <c r="B63" s="319" t="s">
        <v>1667</v>
      </c>
      <c r="C63" s="303" t="s">
        <v>1292</v>
      </c>
      <c r="D63" s="300" t="s">
        <v>144</v>
      </c>
      <c r="E63" s="313">
        <v>2</v>
      </c>
      <c r="F63" s="358" t="s">
        <v>5</v>
      </c>
      <c r="G63" s="338">
        <f>'Composições Unitárias'!G485</f>
        <v>1314.8224919999998</v>
      </c>
      <c r="H63" s="338">
        <f>E63*G63</f>
        <v>2629.6449839999996</v>
      </c>
      <c r="I63" s="338">
        <f>ROUND(H63*$I$12,2)</f>
        <v>708.95</v>
      </c>
      <c r="J63" s="338">
        <f>ROUND(SUM(H63:I63),2)</f>
        <v>3338.59</v>
      </c>
      <c r="K63" s="113" t="s">
        <v>145</v>
      </c>
      <c r="L63" s="443">
        <f>H63/$J$313</f>
        <v>0.014955181765818688</v>
      </c>
      <c r="M63" s="71"/>
      <c r="Q63" s="527">
        <v>2629.6449839999996</v>
      </c>
    </row>
    <row r="64" spans="1:17" ht="51">
      <c r="A64" s="64" t="str">
        <f>IF(J64&gt;0,"x","")</f>
        <v>x</v>
      </c>
      <c r="B64" s="308" t="s">
        <v>1668</v>
      </c>
      <c r="C64" s="335" t="s">
        <v>1293</v>
      </c>
      <c r="D64" s="321" t="s">
        <v>146</v>
      </c>
      <c r="E64" s="322">
        <v>3</v>
      </c>
      <c r="F64" s="355" t="s">
        <v>5</v>
      </c>
      <c r="G64" s="336">
        <f>'Composições Unitárias'!G502</f>
        <v>981.6390919999999</v>
      </c>
      <c r="H64" s="336">
        <f>E64*G64</f>
        <v>2944.9172759999997</v>
      </c>
      <c r="I64" s="336">
        <f>ROUND(H64*$I$12,2)</f>
        <v>793.95</v>
      </c>
      <c r="J64" s="336">
        <f>ROUND(SUM(H64:I64),2)</f>
        <v>3738.87</v>
      </c>
      <c r="K64" s="113" t="s">
        <v>142</v>
      </c>
      <c r="L64" s="443">
        <f>H64/$J$313</f>
        <v>0.016748182137075747</v>
      </c>
      <c r="M64" s="71"/>
      <c r="Q64" s="527">
        <v>2944.9172759999997</v>
      </c>
    </row>
    <row r="65" spans="1:17" ht="38.25">
      <c r="A65" s="64" t="str">
        <f>IF(J65&gt;0,"x","")</f>
        <v>x</v>
      </c>
      <c r="B65" s="319" t="s">
        <v>1669</v>
      </c>
      <c r="C65" s="320" t="s">
        <v>1294</v>
      </c>
      <c r="D65" s="321" t="s">
        <v>147</v>
      </c>
      <c r="E65" s="322">
        <v>6</v>
      </c>
      <c r="F65" s="355" t="s">
        <v>5</v>
      </c>
      <c r="G65" s="336">
        <f>'Composições Unitárias'!G519</f>
        <v>562.597448</v>
      </c>
      <c r="H65" s="336">
        <f>E65*G65</f>
        <v>3375.584688</v>
      </c>
      <c r="I65" s="336">
        <f>ROUND(H65*$I$12,2)</f>
        <v>910.06</v>
      </c>
      <c r="J65" s="336">
        <f>ROUND(SUM(H65:I65),2)</f>
        <v>4285.64</v>
      </c>
      <c r="K65" s="113" t="s">
        <v>129</v>
      </c>
      <c r="L65" s="443">
        <f>H65/$J$313</f>
        <v>0.019197451702459303</v>
      </c>
      <c r="M65" s="71"/>
      <c r="Q65" s="527">
        <v>3375.584688</v>
      </c>
    </row>
    <row r="66" spans="1:17" ht="51">
      <c r="A66" s="64" t="str">
        <f>IF(J66&gt;0,"x","")</f>
        <v>x</v>
      </c>
      <c r="B66" s="308" t="s">
        <v>1670</v>
      </c>
      <c r="C66" s="301" t="s">
        <v>290</v>
      </c>
      <c r="D66" s="300" t="s">
        <v>148</v>
      </c>
      <c r="E66" s="313">
        <v>3.752</v>
      </c>
      <c r="F66" s="308" t="s">
        <v>25</v>
      </c>
      <c r="G66" s="338">
        <f>'Composições Unitárias'!G537</f>
        <v>511.25634050400004</v>
      </c>
      <c r="H66" s="338">
        <f>E66*G66</f>
        <v>1918.233789571008</v>
      </c>
      <c r="I66" s="338">
        <f>ROUND(H66*$I$12,2)</f>
        <v>517.16</v>
      </c>
      <c r="J66" s="338">
        <f>ROUND(SUM(H66:I66),2)</f>
        <v>2435.39</v>
      </c>
      <c r="K66" s="113" t="s">
        <v>129</v>
      </c>
      <c r="L66" s="443">
        <f>H66/$J$313</f>
        <v>0.01090928059373722</v>
      </c>
      <c r="M66" s="71"/>
      <c r="Q66" s="527">
        <v>1918.233789571008</v>
      </c>
    </row>
    <row r="67" spans="1:13" ht="19.5" customHeight="1">
      <c r="A67" s="64"/>
      <c r="B67" s="571" t="s">
        <v>1451</v>
      </c>
      <c r="C67" s="571"/>
      <c r="D67" s="622" t="s">
        <v>1450</v>
      </c>
      <c r="E67" s="571"/>
      <c r="F67" s="571"/>
      <c r="G67" s="571"/>
      <c r="H67" s="571"/>
      <c r="I67" s="571"/>
      <c r="J67" s="571"/>
      <c r="K67" s="113"/>
      <c r="L67" s="443"/>
      <c r="M67" s="71"/>
    </row>
    <row r="68" spans="1:13" ht="25.5">
      <c r="A68" s="64"/>
      <c r="B68" s="319" t="s">
        <v>1596</v>
      </c>
      <c r="C68" s="616" t="s">
        <v>297</v>
      </c>
      <c r="D68" s="321" t="s">
        <v>172</v>
      </c>
      <c r="E68" s="322">
        <v>47.07</v>
      </c>
      <c r="F68" s="319" t="s">
        <v>25</v>
      </c>
      <c r="G68" s="336">
        <f>'Composições Unitárias'!G880</f>
        <v>277.513924</v>
      </c>
      <c r="H68" s="336">
        <f>E68*G68</f>
        <v>13062.58040268</v>
      </c>
      <c r="I68" s="336">
        <f>ROUND(H68*$I$12,2)</f>
        <v>3521.67</v>
      </c>
      <c r="J68" s="336">
        <f>H68+I68</f>
        <v>16584.25040268</v>
      </c>
      <c r="K68" s="113" t="s">
        <v>142</v>
      </c>
      <c r="L68" s="443">
        <f>H68/$J$313</f>
        <v>0.07428883573308255</v>
      </c>
      <c r="M68" s="71"/>
    </row>
    <row r="69" spans="1:13" ht="15">
      <c r="A69" s="64"/>
      <c r="B69" s="319" t="s">
        <v>1597</v>
      </c>
      <c r="C69" s="335" t="s">
        <v>1117</v>
      </c>
      <c r="D69" s="321" t="s">
        <v>173</v>
      </c>
      <c r="E69" s="322">
        <v>17.3</v>
      </c>
      <c r="F69" s="319" t="s">
        <v>6</v>
      </c>
      <c r="G69" s="336">
        <f>'Composições Unitárias'!G898</f>
        <v>92.4305544</v>
      </c>
      <c r="H69" s="336">
        <f>E69*G69</f>
        <v>1599.04859112</v>
      </c>
      <c r="I69" s="336">
        <f>ROUND(H69*$I$12,2)</f>
        <v>431.1</v>
      </c>
      <c r="J69" s="336">
        <f>H69+I69</f>
        <v>2030.1485911200002</v>
      </c>
      <c r="K69" s="113" t="s">
        <v>118</v>
      </c>
      <c r="L69" s="443">
        <f>H69/$J$313</f>
        <v>0.00909402694207025</v>
      </c>
      <c r="M69" s="71"/>
    </row>
    <row r="70" spans="1:13" ht="15">
      <c r="A70" s="64"/>
      <c r="B70" s="325" t="s">
        <v>1617</v>
      </c>
      <c r="C70" s="582" t="s">
        <v>299</v>
      </c>
      <c r="D70" s="524" t="s">
        <v>179</v>
      </c>
      <c r="E70" s="387">
        <v>74.36</v>
      </c>
      <c r="F70" s="617" t="s">
        <v>25</v>
      </c>
      <c r="G70" s="337">
        <f>'Composições Unitárias'!G987</f>
        <v>46.049121072</v>
      </c>
      <c r="H70" s="337">
        <f>E70*G70</f>
        <v>3424.21264291392</v>
      </c>
      <c r="I70" s="337">
        <f>ROUND(H70*$I$12,2)</f>
        <v>923.17</v>
      </c>
      <c r="J70" s="338">
        <f>ROUND(SUM(H70:I70),2)</f>
        <v>4347.38</v>
      </c>
      <c r="K70" s="113" t="s">
        <v>180</v>
      </c>
      <c r="L70" s="443">
        <f>H70/$J$313</f>
        <v>0.01947400610773552</v>
      </c>
      <c r="M70" s="71"/>
    </row>
    <row r="71" spans="1:13" ht="15" customHeight="1">
      <c r="A71" s="64"/>
      <c r="B71" s="571" t="s">
        <v>1446</v>
      </c>
      <c r="C71" s="622"/>
      <c r="D71" s="622" t="s">
        <v>1447</v>
      </c>
      <c r="E71" s="622"/>
      <c r="F71" s="622"/>
      <c r="G71" s="622"/>
      <c r="H71" s="622"/>
      <c r="I71" s="622"/>
      <c r="J71" s="622"/>
      <c r="K71" s="113"/>
      <c r="L71" s="443"/>
      <c r="M71" s="71"/>
    </row>
    <row r="72" spans="1:13" ht="15">
      <c r="A72" s="64"/>
      <c r="B72" s="319" t="s">
        <v>1598</v>
      </c>
      <c r="C72" s="347" t="s">
        <v>1298</v>
      </c>
      <c r="D72" s="321" t="s">
        <v>157</v>
      </c>
      <c r="E72" s="322">
        <v>188.45</v>
      </c>
      <c r="F72" s="319" t="s">
        <v>25</v>
      </c>
      <c r="G72" s="336">
        <f>'Composições Unitárias'!G662</f>
        <v>6.7635448</v>
      </c>
      <c r="H72" s="336">
        <f>E72*G72</f>
        <v>1274.59001756</v>
      </c>
      <c r="I72" s="336">
        <f>ROUND(H72*$I$12,2)</f>
        <v>343.63</v>
      </c>
      <c r="J72" s="336">
        <f>H72+I72</f>
        <v>1618.22001756</v>
      </c>
      <c r="K72" s="113" t="s">
        <v>158</v>
      </c>
      <c r="L72" s="443"/>
      <c r="M72" s="71"/>
    </row>
    <row r="73" spans="1:13" ht="15">
      <c r="A73" s="64"/>
      <c r="B73" s="319" t="s">
        <v>1599</v>
      </c>
      <c r="C73" s="304" t="s">
        <v>291</v>
      </c>
      <c r="D73" s="300" t="s">
        <v>159</v>
      </c>
      <c r="E73" s="313">
        <v>188.45</v>
      </c>
      <c r="F73" s="308" t="s">
        <v>25</v>
      </c>
      <c r="G73" s="338">
        <f>'Composições Unitárias'!G677</f>
        <v>68.58407131999999</v>
      </c>
      <c r="H73" s="338">
        <f>E73*G73</f>
        <v>12924.668240253997</v>
      </c>
      <c r="I73" s="338">
        <f>ROUND(H73*$I$12,2)</f>
        <v>3484.49</v>
      </c>
      <c r="J73" s="336">
        <f>H73+I73</f>
        <v>16409.158240253997</v>
      </c>
      <c r="K73" s="113" t="s">
        <v>158</v>
      </c>
      <c r="L73" s="443"/>
      <c r="M73" s="71"/>
    </row>
    <row r="74" spans="1:13" ht="15">
      <c r="A74" s="64"/>
      <c r="B74" s="319" t="s">
        <v>1600</v>
      </c>
      <c r="C74" s="347" t="s">
        <v>1299</v>
      </c>
      <c r="D74" s="321" t="s">
        <v>160</v>
      </c>
      <c r="E74" s="322">
        <v>188.45</v>
      </c>
      <c r="F74" s="319" t="s">
        <v>25</v>
      </c>
      <c r="G74" s="336">
        <f>'Composições Unitárias'!G692</f>
        <v>30.082924000000002</v>
      </c>
      <c r="H74" s="336">
        <f>E74*G74</f>
        <v>5669.1270278</v>
      </c>
      <c r="I74" s="336">
        <f>ROUND(H74*$I$12,2)</f>
        <v>1528.4</v>
      </c>
      <c r="J74" s="336">
        <f>H74+I74</f>
        <v>7197.527027800001</v>
      </c>
      <c r="K74" s="113" t="s">
        <v>158</v>
      </c>
      <c r="L74" s="443"/>
      <c r="M74" s="71"/>
    </row>
    <row r="75" spans="1:13" ht="15">
      <c r="A75" s="64"/>
      <c r="B75" s="319" t="s">
        <v>1601</v>
      </c>
      <c r="C75" s="332" t="s">
        <v>292</v>
      </c>
      <c r="D75" s="321" t="s">
        <v>161</v>
      </c>
      <c r="E75" s="322">
        <v>154.625</v>
      </c>
      <c r="F75" s="319" t="s">
        <v>25</v>
      </c>
      <c r="G75" s="336">
        <f>'Composições Unitárias'!G710</f>
        <v>56.10299528</v>
      </c>
      <c r="H75" s="336">
        <f>E75*G75</f>
        <v>8674.92564517</v>
      </c>
      <c r="I75" s="336">
        <f>ROUND(H75*$I$12,2)</f>
        <v>2338.76</v>
      </c>
      <c r="J75" s="336">
        <f>H75+I75</f>
        <v>11013.68564517</v>
      </c>
      <c r="K75" s="113" t="s">
        <v>162</v>
      </c>
      <c r="L75" s="443"/>
      <c r="M75" s="71"/>
    </row>
    <row r="76" spans="1:13" ht="15">
      <c r="A76" s="64"/>
      <c r="B76" s="325" t="s">
        <v>1671</v>
      </c>
      <c r="C76" s="347" t="s">
        <v>382</v>
      </c>
      <c r="D76" s="321" t="s">
        <v>163</v>
      </c>
      <c r="E76" s="322">
        <v>18.6</v>
      </c>
      <c r="F76" s="319" t="s">
        <v>25</v>
      </c>
      <c r="G76" s="336">
        <f>'Composições Unitárias'!G724</f>
        <v>6.099686</v>
      </c>
      <c r="H76" s="336">
        <f>E76*G76</f>
        <v>113.45415960000001</v>
      </c>
      <c r="I76" s="336">
        <f>ROUND(H76*$I$12,2)</f>
        <v>30.59</v>
      </c>
      <c r="J76" s="336">
        <f>H76+I76</f>
        <v>144.0441596</v>
      </c>
      <c r="K76" s="559" t="s">
        <v>118</v>
      </c>
      <c r="L76" s="443"/>
      <c r="M76" s="71"/>
    </row>
    <row r="77" spans="1:13" ht="15" customHeight="1">
      <c r="A77" s="64"/>
      <c r="B77" s="571" t="s">
        <v>1444</v>
      </c>
      <c r="C77" s="622"/>
      <c r="D77" s="622" t="s">
        <v>1445</v>
      </c>
      <c r="E77" s="622"/>
      <c r="F77" s="622"/>
      <c r="G77" s="622"/>
      <c r="H77" s="622"/>
      <c r="I77" s="622"/>
      <c r="J77" s="622"/>
      <c r="K77" s="113"/>
      <c r="L77" s="443"/>
      <c r="M77" s="71"/>
    </row>
    <row r="78" spans="1:13" ht="12.75" customHeight="1">
      <c r="A78" s="64"/>
      <c r="B78" s="580" t="s">
        <v>1602</v>
      </c>
      <c r="C78" s="583"/>
      <c r="D78" s="583" t="s">
        <v>1603</v>
      </c>
      <c r="E78" s="583"/>
      <c r="F78" s="583"/>
      <c r="G78" s="583"/>
      <c r="H78" s="583"/>
      <c r="I78" s="583"/>
      <c r="J78" s="583"/>
      <c r="K78" s="113"/>
      <c r="L78" s="443"/>
      <c r="M78" s="71"/>
    </row>
    <row r="79" spans="1:17" ht="15">
      <c r="A79" s="64" t="str">
        <f>IF(J79&gt;0,"x","")</f>
        <v>x</v>
      </c>
      <c r="B79" s="319" t="s">
        <v>1672</v>
      </c>
      <c r="C79" s="303" t="s">
        <v>381</v>
      </c>
      <c r="D79" s="300" t="s">
        <v>156</v>
      </c>
      <c r="E79" s="313">
        <v>46.26</v>
      </c>
      <c r="F79" s="308" t="s">
        <v>25</v>
      </c>
      <c r="G79" s="338">
        <f>'Composições Unitárias'!G630</f>
        <v>53.5815193824</v>
      </c>
      <c r="H79" s="338">
        <f>E79*G79</f>
        <v>2478.681086629824</v>
      </c>
      <c r="I79" s="338">
        <f>ROUND(H79*$I$12,2)</f>
        <v>668.25</v>
      </c>
      <c r="J79" s="338">
        <f>ROUND(SUM(H79:I79),2)</f>
        <v>3146.93</v>
      </c>
      <c r="K79" s="113" t="s">
        <v>142</v>
      </c>
      <c r="L79" s="443">
        <f>H79/$J$313</f>
        <v>0.014096627649584657</v>
      </c>
      <c r="M79" s="71"/>
      <c r="Q79" s="527">
        <v>2478.681086629824</v>
      </c>
    </row>
    <row r="80" spans="1:17" ht="15">
      <c r="A80" s="64" t="str">
        <f>IF(J80&gt;0,"x","")</f>
        <v>x</v>
      </c>
      <c r="B80" s="319" t="s">
        <v>1673</v>
      </c>
      <c r="C80" s="335" t="s">
        <v>380</v>
      </c>
      <c r="D80" s="321" t="s">
        <v>109</v>
      </c>
      <c r="E80" s="322">
        <v>2</v>
      </c>
      <c r="F80" s="319" t="s">
        <v>25</v>
      </c>
      <c r="G80" s="336">
        <f>'Composições Unitárias'!G644</f>
        <v>166.869936</v>
      </c>
      <c r="H80" s="336">
        <f>E80*G80</f>
        <v>333.739872</v>
      </c>
      <c r="I80" s="336">
        <f>ROUND(H80*$I$12,2)</f>
        <v>89.98</v>
      </c>
      <c r="J80" s="336">
        <f>ROUND(SUM(H80:I80),2)</f>
        <v>423.72</v>
      </c>
      <c r="K80" s="113" t="s">
        <v>129</v>
      </c>
      <c r="L80" s="443">
        <f>H80/$J$313</f>
        <v>0.001898028242834875</v>
      </c>
      <c r="M80" s="71"/>
      <c r="Q80" s="527">
        <v>333.739872</v>
      </c>
    </row>
    <row r="81" spans="1:13" ht="15">
      <c r="A81" s="64"/>
      <c r="B81" s="569" t="s">
        <v>1448</v>
      </c>
      <c r="C81" s="622"/>
      <c r="D81" s="622" t="s">
        <v>1449</v>
      </c>
      <c r="E81" s="622"/>
      <c r="F81" s="622"/>
      <c r="G81" s="622"/>
      <c r="H81" s="622"/>
      <c r="I81" s="622"/>
      <c r="J81" s="622"/>
      <c r="K81" s="113"/>
      <c r="L81" s="443"/>
      <c r="M81" s="73"/>
    </row>
    <row r="82" spans="1:13" ht="15">
      <c r="A82" s="64">
        <f>IF(J82&gt;0,"x","")</f>
      </c>
      <c r="B82" s="657" t="s">
        <v>1605</v>
      </c>
      <c r="C82" s="305"/>
      <c r="D82" s="609" t="s">
        <v>1604</v>
      </c>
      <c r="E82" s="316"/>
      <c r="F82" s="315"/>
      <c r="G82" s="339"/>
      <c r="H82" s="339"/>
      <c r="I82" s="339"/>
      <c r="J82" s="339"/>
      <c r="K82" s="120"/>
      <c r="L82" s="443"/>
      <c r="M82" s="71"/>
    </row>
    <row r="83" spans="1:17" ht="25.5">
      <c r="A83" s="64" t="str">
        <f>IF(J83&gt;0,"x","")</f>
        <v>x</v>
      </c>
      <c r="B83" s="319" t="s">
        <v>1674</v>
      </c>
      <c r="C83" s="335" t="s">
        <v>1302</v>
      </c>
      <c r="D83" s="321" t="s">
        <v>368</v>
      </c>
      <c r="E83" s="322">
        <v>29</v>
      </c>
      <c r="F83" s="319" t="s">
        <v>25</v>
      </c>
      <c r="G83" s="336">
        <f>'Composições Unitárias'!G744</f>
        <v>17.121392511111107</v>
      </c>
      <c r="H83" s="336">
        <f>E83*G83</f>
        <v>496.52038282222213</v>
      </c>
      <c r="I83" s="336">
        <f>ROUND(H83*$I$12,2)</f>
        <v>133.86</v>
      </c>
      <c r="J83" s="336">
        <f>ROUND(SUM(H83:I83),2)</f>
        <v>630.38</v>
      </c>
      <c r="K83" s="113" t="s">
        <v>118</v>
      </c>
      <c r="L83" s="443">
        <f>H83/$J$313</f>
        <v>0.0028237851956141513</v>
      </c>
      <c r="M83" s="71"/>
      <c r="Q83" s="527">
        <v>496.52038282222213</v>
      </c>
    </row>
    <row r="84" spans="1:17" ht="25.5">
      <c r="A84" s="64" t="str">
        <f>IF(J84&gt;0,"x","")</f>
        <v>x</v>
      </c>
      <c r="B84" s="623" t="s">
        <v>1675</v>
      </c>
      <c r="C84" s="656" t="s">
        <v>1303</v>
      </c>
      <c r="D84" s="625" t="s">
        <v>164</v>
      </c>
      <c r="E84" s="626">
        <v>47.059999999999995</v>
      </c>
      <c r="F84" s="623" t="s">
        <v>25</v>
      </c>
      <c r="G84" s="367">
        <f>'Composições Unitárias'!G761</f>
        <v>15.494638</v>
      </c>
      <c r="H84" s="367">
        <f>E84*G84</f>
        <v>729.1776642799999</v>
      </c>
      <c r="I84" s="367">
        <f>ROUND(H84*$I$12,2)</f>
        <v>196.59</v>
      </c>
      <c r="J84" s="367">
        <f>ROUND(SUM(H84:I84),2)</f>
        <v>925.77</v>
      </c>
      <c r="K84" s="113" t="s">
        <v>165</v>
      </c>
      <c r="L84" s="443">
        <f>H84/$J$313</f>
        <v>0.004146941726063246</v>
      </c>
      <c r="M84" s="71"/>
      <c r="Q84" s="527">
        <v>729.1776642799999</v>
      </c>
    </row>
    <row r="85" spans="1:17" s="614" customFormat="1" ht="15">
      <c r="A85" s="610"/>
      <c r="B85" s="657" t="s">
        <v>1607</v>
      </c>
      <c r="C85" s="329"/>
      <c r="D85" s="658" t="s">
        <v>1678</v>
      </c>
      <c r="E85" s="330"/>
      <c r="F85" s="328"/>
      <c r="G85" s="366"/>
      <c r="H85" s="366"/>
      <c r="I85" s="366"/>
      <c r="J85" s="659"/>
      <c r="K85" s="611"/>
      <c r="L85" s="612"/>
      <c r="M85" s="613"/>
      <c r="Q85" s="615"/>
    </row>
    <row r="86" spans="1:13" ht="15">
      <c r="A86" s="64"/>
      <c r="B86" s="319" t="s">
        <v>1676</v>
      </c>
      <c r="C86" s="320" t="s">
        <v>296</v>
      </c>
      <c r="D86" s="321" t="s">
        <v>171</v>
      </c>
      <c r="E86" s="322">
        <v>64.86</v>
      </c>
      <c r="F86" s="319" t="s">
        <v>25</v>
      </c>
      <c r="G86" s="336">
        <f>'Composições Unitárias'!G862</f>
        <v>9.289886472</v>
      </c>
      <c r="H86" s="336">
        <f>E86*G86</f>
        <v>602.54203657392</v>
      </c>
      <c r="I86" s="336">
        <f>ROUND(H86*$I$12,2)</f>
        <v>162.45</v>
      </c>
      <c r="J86" s="336">
        <f>ROUND(SUM(H86:I86),2)</f>
        <v>764.99</v>
      </c>
      <c r="K86" s="113"/>
      <c r="L86" s="443"/>
      <c r="M86" s="71"/>
    </row>
    <row r="87" spans="1:13" ht="15">
      <c r="A87" s="64"/>
      <c r="B87" s="657" t="s">
        <v>1606</v>
      </c>
      <c r="C87" s="329"/>
      <c r="D87" s="658" t="s">
        <v>1679</v>
      </c>
      <c r="E87" s="330"/>
      <c r="F87" s="328"/>
      <c r="G87" s="366"/>
      <c r="H87" s="366"/>
      <c r="I87" s="366"/>
      <c r="J87" s="659"/>
      <c r="K87" s="113"/>
      <c r="L87" s="443"/>
      <c r="M87" s="71"/>
    </row>
    <row r="88" spans="1:13" ht="15">
      <c r="A88" s="64"/>
      <c r="B88" s="319" t="s">
        <v>1677</v>
      </c>
      <c r="C88" s="320" t="s">
        <v>1116</v>
      </c>
      <c r="D88" s="321" t="s">
        <v>170</v>
      </c>
      <c r="E88" s="322">
        <v>27.636999999999997</v>
      </c>
      <c r="F88" s="319" t="s">
        <v>25</v>
      </c>
      <c r="G88" s="336">
        <f>'Composições Unitárias'!G828</f>
        <v>12.086791884</v>
      </c>
      <c r="H88" s="336">
        <f>E88*G88</f>
        <v>334.042667298108</v>
      </c>
      <c r="I88" s="336">
        <f>ROUND(H88*$I$12,2)</f>
        <v>90.06</v>
      </c>
      <c r="J88" s="653">
        <f>ROUND(SUM(H88:I88),2)</f>
        <v>424.1</v>
      </c>
      <c r="K88" s="113" t="s">
        <v>118</v>
      </c>
      <c r="L88" s="443">
        <f>H88/$J$313</f>
        <v>0.0018997502846878982</v>
      </c>
      <c r="M88" s="71"/>
    </row>
    <row r="89" spans="1:13" ht="15">
      <c r="A89" s="64"/>
      <c r="B89" s="319" t="s">
        <v>1835</v>
      </c>
      <c r="C89" s="320" t="s">
        <v>1116</v>
      </c>
      <c r="D89" s="321" t="s">
        <v>1836</v>
      </c>
      <c r="E89" s="322">
        <v>1</v>
      </c>
      <c r="F89" s="319" t="s">
        <v>25</v>
      </c>
      <c r="G89" s="336">
        <f>'Composições Unitárias'!G846</f>
        <v>12.086791884</v>
      </c>
      <c r="H89" s="336">
        <f>E89*G89</f>
        <v>12.086791884</v>
      </c>
      <c r="I89" s="336">
        <f>ROUND(H89*$I$12,2)</f>
        <v>3.26</v>
      </c>
      <c r="J89" s="653">
        <f>ROUND(SUM(H89:I89),2)</f>
        <v>15.35</v>
      </c>
      <c r="K89" s="113"/>
      <c r="L89" s="443"/>
      <c r="M89" s="71"/>
    </row>
    <row r="90" spans="1:13" ht="15">
      <c r="A90" s="64"/>
      <c r="B90" s="657" t="s">
        <v>1680</v>
      </c>
      <c r="C90" s="329"/>
      <c r="D90" s="658" t="s">
        <v>1681</v>
      </c>
      <c r="E90" s="330"/>
      <c r="F90" s="328"/>
      <c r="G90" s="366"/>
      <c r="H90" s="366"/>
      <c r="I90" s="366"/>
      <c r="J90" s="659"/>
      <c r="K90" s="113"/>
      <c r="L90" s="443"/>
      <c r="M90" s="71"/>
    </row>
    <row r="91" spans="1:13" ht="15">
      <c r="A91" s="64"/>
      <c r="B91" s="654" t="s">
        <v>1682</v>
      </c>
      <c r="C91" s="320" t="s">
        <v>293</v>
      </c>
      <c r="D91" s="321" t="s">
        <v>166</v>
      </c>
      <c r="E91" s="322">
        <v>58.07</v>
      </c>
      <c r="F91" s="319" t="s">
        <v>25</v>
      </c>
      <c r="G91" s="336">
        <f>'Composições Unitárias'!G779</f>
        <v>3.082839628</v>
      </c>
      <c r="H91" s="336">
        <f>E91*G91</f>
        <v>179.02049719796</v>
      </c>
      <c r="I91" s="336">
        <f>ROUND(H91*$I$12,2)</f>
        <v>48.26</v>
      </c>
      <c r="J91" s="336">
        <f>ROUND(SUM(H91:I91),2)</f>
        <v>227.28</v>
      </c>
      <c r="K91" s="559" t="s">
        <v>167</v>
      </c>
      <c r="L91" s="634">
        <f>H91/$J$313</f>
        <v>0.001018116168415351</v>
      </c>
      <c r="M91" s="71"/>
    </row>
    <row r="92" spans="1:13" ht="15">
      <c r="A92" s="64"/>
      <c r="B92" s="311" t="s">
        <v>1683</v>
      </c>
      <c r="C92" s="301" t="s">
        <v>294</v>
      </c>
      <c r="D92" s="300" t="s">
        <v>168</v>
      </c>
      <c r="E92" s="313">
        <v>29</v>
      </c>
      <c r="F92" s="308" t="s">
        <v>25</v>
      </c>
      <c r="G92" s="338">
        <f>'Composições Unitárias'!G794</f>
        <v>2.5197442519999997</v>
      </c>
      <c r="H92" s="338">
        <f>E92*G92</f>
        <v>73.07258330799999</v>
      </c>
      <c r="I92" s="338">
        <f>ROUND(H92*$I$12,2)</f>
        <v>19.7</v>
      </c>
      <c r="J92" s="338">
        <f>ROUND(SUM(H92:I92),2)</f>
        <v>92.77</v>
      </c>
      <c r="K92" s="559" t="s">
        <v>118</v>
      </c>
      <c r="L92" s="634">
        <f>H92/$J$313</f>
        <v>0.0004155746392072933</v>
      </c>
      <c r="M92" s="71"/>
    </row>
    <row r="93" spans="1:12" ht="12.75">
      <c r="A93" s="64"/>
      <c r="B93" s="571" t="s">
        <v>1612</v>
      </c>
      <c r="C93" s="622"/>
      <c r="D93" s="622" t="s">
        <v>1453</v>
      </c>
      <c r="E93" s="622"/>
      <c r="F93" s="622"/>
      <c r="G93" s="622"/>
      <c r="H93" s="622"/>
      <c r="I93" s="622"/>
      <c r="J93" s="667"/>
      <c r="K93" s="113"/>
      <c r="L93" s="443"/>
    </row>
    <row r="94" spans="1:12" ht="12.75">
      <c r="A94" s="64"/>
      <c r="B94" s="660" t="s">
        <v>1613</v>
      </c>
      <c r="C94" s="661"/>
      <c r="D94" s="662" t="s">
        <v>1686</v>
      </c>
      <c r="E94" s="663"/>
      <c r="F94" s="664"/>
      <c r="G94" s="665"/>
      <c r="H94" s="665"/>
      <c r="I94" s="665"/>
      <c r="J94" s="666"/>
      <c r="K94" s="113"/>
      <c r="L94" s="443"/>
    </row>
    <row r="95" spans="1:12" ht="12.75">
      <c r="A95" s="64"/>
      <c r="B95" s="319" t="s">
        <v>1684</v>
      </c>
      <c r="C95" s="349" t="s">
        <v>298</v>
      </c>
      <c r="D95" s="321" t="s">
        <v>177</v>
      </c>
      <c r="E95" s="322">
        <v>47.07</v>
      </c>
      <c r="F95" s="348" t="s">
        <v>25</v>
      </c>
      <c r="G95" s="336">
        <f>'Composições Unitárias'!G952</f>
        <v>46.72310160000001</v>
      </c>
      <c r="H95" s="336">
        <f>E95*G95</f>
        <v>2199.256392312</v>
      </c>
      <c r="I95" s="336">
        <f>ROUND(H95*$I$12,2)</f>
        <v>592.92</v>
      </c>
      <c r="J95" s="336">
        <f>ROUND(SUM(H95:I95),2)</f>
        <v>2792.18</v>
      </c>
      <c r="K95" s="113" t="s">
        <v>142</v>
      </c>
      <c r="L95" s="443"/>
    </row>
    <row r="96" spans="1:12" ht="12.75">
      <c r="A96" s="64"/>
      <c r="B96" s="319" t="s">
        <v>1685</v>
      </c>
      <c r="C96" s="378" t="s">
        <v>385</v>
      </c>
      <c r="D96" s="321" t="s">
        <v>178</v>
      </c>
      <c r="E96" s="322">
        <v>47.07</v>
      </c>
      <c r="F96" s="348" t="s">
        <v>25</v>
      </c>
      <c r="G96" s="336">
        <f>'Composições Unitárias'!G969</f>
        <v>41.907445200000005</v>
      </c>
      <c r="H96" s="336">
        <f>E96*G96</f>
        <v>1972.5834455640002</v>
      </c>
      <c r="I96" s="336">
        <f>ROUND(H96*$I$12,2)</f>
        <v>531.81</v>
      </c>
      <c r="J96" s="336">
        <f>ROUND(SUM(H96:I96),2)</f>
        <v>2504.39</v>
      </c>
      <c r="K96" s="559" t="s">
        <v>142</v>
      </c>
      <c r="L96" s="443"/>
    </row>
    <row r="97" spans="1:12" ht="12.75">
      <c r="A97" s="64"/>
      <c r="B97" s="571" t="s">
        <v>1452</v>
      </c>
      <c r="C97" s="622"/>
      <c r="D97" s="622" t="s">
        <v>1616</v>
      </c>
      <c r="E97" s="622"/>
      <c r="F97" s="622"/>
      <c r="G97" s="622"/>
      <c r="H97" s="622"/>
      <c r="I97" s="622"/>
      <c r="J97" s="622"/>
      <c r="L97" s="1"/>
    </row>
    <row r="98" spans="1:12" ht="12.75">
      <c r="A98" s="64"/>
      <c r="B98" s="657" t="s">
        <v>1608</v>
      </c>
      <c r="C98" s="329"/>
      <c r="D98" s="658" t="s">
        <v>1609</v>
      </c>
      <c r="E98" s="330"/>
      <c r="F98" s="328"/>
      <c r="G98" s="366"/>
      <c r="H98" s="366"/>
      <c r="I98" s="366"/>
      <c r="J98" s="366"/>
      <c r="L98" s="1"/>
    </row>
    <row r="99" spans="1:12" ht="12.75">
      <c r="A99" s="64"/>
      <c r="B99" s="668" t="s">
        <v>1687</v>
      </c>
      <c r="C99" s="303" t="s">
        <v>383</v>
      </c>
      <c r="D99" s="300" t="s">
        <v>174</v>
      </c>
      <c r="E99" s="313">
        <v>56.64</v>
      </c>
      <c r="F99" s="308" t="s">
        <v>4</v>
      </c>
      <c r="G99" s="338">
        <f>'Composições Unitárias'!G916</f>
        <v>59.5334564</v>
      </c>
      <c r="H99" s="338">
        <f>E99*G99</f>
        <v>3371.974970496</v>
      </c>
      <c r="I99" s="338">
        <f>ROUND(H99*$I$12,2)</f>
        <v>909.08</v>
      </c>
      <c r="J99" s="338">
        <f>H99+I99</f>
        <v>4281.054970496</v>
      </c>
      <c r="K99" s="113" t="s">
        <v>142</v>
      </c>
      <c r="L99" s="573">
        <f>H99/$J$313</f>
        <v>0.019176922702642204</v>
      </c>
    </row>
    <row r="100" spans="1:12" ht="12.75">
      <c r="A100" s="64"/>
      <c r="B100" s="657" t="s">
        <v>1610</v>
      </c>
      <c r="C100" s="329"/>
      <c r="D100" s="658" t="s">
        <v>1611</v>
      </c>
      <c r="E100" s="330"/>
      <c r="F100" s="328"/>
      <c r="G100" s="366"/>
      <c r="H100" s="366"/>
      <c r="I100" s="366"/>
      <c r="J100" s="659"/>
      <c r="K100" s="113"/>
      <c r="L100" s="573"/>
    </row>
    <row r="101" spans="1:12" ht="25.5">
      <c r="A101" s="64"/>
      <c r="B101" s="654" t="s">
        <v>1688</v>
      </c>
      <c r="C101" s="335" t="s">
        <v>384</v>
      </c>
      <c r="D101" s="321" t="s">
        <v>175</v>
      </c>
      <c r="E101" s="322">
        <v>4.6</v>
      </c>
      <c r="F101" s="319" t="s">
        <v>4</v>
      </c>
      <c r="G101" s="336">
        <f>'Composições Unitárias'!G934</f>
        <v>69.796319</v>
      </c>
      <c r="H101" s="336">
        <f>E101*G101</f>
        <v>321.06306739999997</v>
      </c>
      <c r="I101" s="336">
        <f>ROUND(H101*$I$12,2)</f>
        <v>86.56</v>
      </c>
      <c r="J101" s="336">
        <f>H101+I101</f>
        <v>407.62306739999997</v>
      </c>
      <c r="K101" s="605" t="s">
        <v>142</v>
      </c>
      <c r="L101" s="573">
        <f>H101/$J$313</f>
        <v>0.00182593337141448</v>
      </c>
    </row>
    <row r="102" spans="1:12" ht="12.75">
      <c r="A102" s="64"/>
      <c r="B102" s="571" t="s">
        <v>1460</v>
      </c>
      <c r="C102" s="622"/>
      <c r="D102" s="622" t="s">
        <v>1461</v>
      </c>
      <c r="E102" s="622"/>
      <c r="F102" s="622"/>
      <c r="G102" s="622"/>
      <c r="H102" s="622"/>
      <c r="I102" s="622"/>
      <c r="J102" s="667"/>
      <c r="K102" s="113"/>
      <c r="L102" s="443"/>
    </row>
    <row r="103" spans="1:12" ht="12.75">
      <c r="A103" s="64"/>
      <c r="B103" s="608" t="s">
        <v>1614</v>
      </c>
      <c r="C103" s="608"/>
      <c r="D103" s="671" t="s">
        <v>1615</v>
      </c>
      <c r="E103" s="608"/>
      <c r="F103" s="608"/>
      <c r="G103" s="608"/>
      <c r="H103" s="608"/>
      <c r="I103" s="608"/>
      <c r="J103" s="608"/>
      <c r="K103" s="113"/>
      <c r="L103" s="443"/>
    </row>
    <row r="104" spans="1:12" ht="12.75">
      <c r="A104" s="64"/>
      <c r="B104" s="319" t="s">
        <v>1689</v>
      </c>
      <c r="C104" s="670" t="s">
        <v>1427</v>
      </c>
      <c r="D104" s="321" t="s">
        <v>1422</v>
      </c>
      <c r="E104" s="322">
        <v>1</v>
      </c>
      <c r="F104" s="355" t="s">
        <v>1435</v>
      </c>
      <c r="G104" s="672">
        <f>'Mapa de Cotação'!F34*1</f>
        <v>916</v>
      </c>
      <c r="H104" s="336">
        <f>E104*G104</f>
        <v>916</v>
      </c>
      <c r="I104" s="336">
        <f>H104*$I$12</f>
        <v>246.9536</v>
      </c>
      <c r="J104" s="336">
        <f>H104+I104</f>
        <v>1162.9536</v>
      </c>
      <c r="K104" s="669"/>
      <c r="L104" s="443"/>
    </row>
    <row r="105" spans="1:12" ht="12.75">
      <c r="A105" s="64"/>
      <c r="B105" s="319" t="s">
        <v>1690</v>
      </c>
      <c r="C105" s="670" t="s">
        <v>1428</v>
      </c>
      <c r="D105" s="321" t="s">
        <v>1423</v>
      </c>
      <c r="E105" s="322">
        <v>1</v>
      </c>
      <c r="F105" s="355" t="s">
        <v>1435</v>
      </c>
      <c r="G105" s="672">
        <f>'Mapa de Cotação'!F35*5</f>
        <v>998.3333333333333</v>
      </c>
      <c r="H105" s="336">
        <f>E105*G105</f>
        <v>998.3333333333333</v>
      </c>
      <c r="I105" s="336">
        <f>H105*$I$12</f>
        <v>269.15066666666667</v>
      </c>
      <c r="J105" s="336">
        <f>H105+I105</f>
        <v>1267.484</v>
      </c>
      <c r="K105" s="669"/>
      <c r="L105" s="443"/>
    </row>
    <row r="106" spans="1:12" ht="12.75">
      <c r="A106" s="64"/>
      <c r="B106" s="673"/>
      <c r="C106" s="674"/>
      <c r="D106" s="675"/>
      <c r="E106" s="676"/>
      <c r="F106" s="677"/>
      <c r="G106" s="678" t="s">
        <v>1619</v>
      </c>
      <c r="H106" s="679">
        <f>SUM(H59:H105)</f>
        <v>91974.91829690569</v>
      </c>
      <c r="I106" s="679">
        <f>SUM(I59:I105)</f>
        <v>24796.444266666673</v>
      </c>
      <c r="J106" s="679">
        <f>ROUND(SUM(H106:I106),2)</f>
        <v>116771.36</v>
      </c>
      <c r="K106" s="113"/>
      <c r="L106" s="443"/>
    </row>
    <row r="107" spans="1:12" ht="12.75">
      <c r="A107" s="64"/>
      <c r="B107" s="340"/>
      <c r="C107" s="341"/>
      <c r="D107" s="342"/>
      <c r="E107" s="343"/>
      <c r="F107" s="344"/>
      <c r="G107" s="345"/>
      <c r="H107" s="346"/>
      <c r="I107" s="346"/>
      <c r="J107" s="346"/>
      <c r="K107" s="120"/>
      <c r="L107" s="443"/>
    </row>
    <row r="108" spans="1:12" ht="12.75">
      <c r="A108" s="64"/>
      <c r="B108" s="350" t="s">
        <v>1458</v>
      </c>
      <c r="C108" s="773" t="s">
        <v>1459</v>
      </c>
      <c r="D108" s="773"/>
      <c r="E108" s="773"/>
      <c r="F108" s="773"/>
      <c r="G108" s="773"/>
      <c r="H108" s="773"/>
      <c r="I108" s="773"/>
      <c r="J108" s="773"/>
      <c r="K108" s="125"/>
      <c r="L108" s="443"/>
    </row>
    <row r="109" spans="1:12" ht="12.75">
      <c r="A109" s="64"/>
      <c r="B109" s="777" t="s">
        <v>1213</v>
      </c>
      <c r="C109" s="775" t="s">
        <v>1210</v>
      </c>
      <c r="D109" s="775" t="s">
        <v>26</v>
      </c>
      <c r="E109" s="775" t="s">
        <v>34</v>
      </c>
      <c r="F109" s="775" t="s">
        <v>1211</v>
      </c>
      <c r="G109" s="775" t="s">
        <v>1214</v>
      </c>
      <c r="H109" s="775" t="s">
        <v>1215</v>
      </c>
      <c r="I109" s="564" t="s">
        <v>27</v>
      </c>
      <c r="J109" s="775" t="s">
        <v>1212</v>
      </c>
      <c r="K109" s="125"/>
      <c r="L109" s="443"/>
    </row>
    <row r="110" spans="1:12" ht="12.75">
      <c r="A110" s="64"/>
      <c r="B110" s="778"/>
      <c r="C110" s="776"/>
      <c r="D110" s="776"/>
      <c r="E110" s="776"/>
      <c r="F110" s="776"/>
      <c r="G110" s="776"/>
      <c r="H110" s="776"/>
      <c r="I110" s="294">
        <v>0.2696</v>
      </c>
      <c r="J110" s="776"/>
      <c r="K110" s="125"/>
      <c r="L110" s="443"/>
    </row>
    <row r="111" spans="1:12" ht="12.75">
      <c r="A111" s="64"/>
      <c r="B111" s="571" t="s">
        <v>1525</v>
      </c>
      <c r="C111" s="571"/>
      <c r="D111" s="622" t="s">
        <v>1526</v>
      </c>
      <c r="E111" s="571"/>
      <c r="F111" s="571"/>
      <c r="G111" s="571"/>
      <c r="H111" s="571"/>
      <c r="I111" s="571"/>
      <c r="J111" s="571"/>
      <c r="K111" s="125"/>
      <c r="L111" s="443"/>
    </row>
    <row r="112" spans="1:12" ht="12.75">
      <c r="A112" s="64"/>
      <c r="B112" s="571" t="s">
        <v>1519</v>
      </c>
      <c r="C112" s="571"/>
      <c r="D112" s="622" t="s">
        <v>1520</v>
      </c>
      <c r="E112" s="571"/>
      <c r="F112" s="571"/>
      <c r="G112" s="571"/>
      <c r="H112" s="571"/>
      <c r="I112" s="571"/>
      <c r="J112" s="571"/>
      <c r="K112" s="125"/>
      <c r="L112" s="443"/>
    </row>
    <row r="113" spans="1:12" ht="12.75">
      <c r="A113" s="64"/>
      <c r="B113" s="578" t="s">
        <v>1522</v>
      </c>
      <c r="C113" s="578"/>
      <c r="D113" s="579" t="s">
        <v>1521</v>
      </c>
      <c r="E113" s="578"/>
      <c r="F113" s="578"/>
      <c r="G113" s="578"/>
      <c r="H113" s="578"/>
      <c r="I113" s="578"/>
      <c r="J113" s="578"/>
      <c r="K113" s="125"/>
      <c r="L113" s="443"/>
    </row>
    <row r="114" spans="1:12" ht="12.75">
      <c r="A114" s="64"/>
      <c r="B114" s="326" t="s">
        <v>1691</v>
      </c>
      <c r="C114" s="378" t="s">
        <v>411</v>
      </c>
      <c r="D114" s="357" t="s">
        <v>265</v>
      </c>
      <c r="E114" s="322">
        <v>6</v>
      </c>
      <c r="F114" s="319" t="s">
        <v>4</v>
      </c>
      <c r="G114" s="336">
        <f>'Composições Unitárias'!G2757</f>
        <v>24.073377999999998</v>
      </c>
      <c r="H114" s="336">
        <f>E114*G114</f>
        <v>144.440268</v>
      </c>
      <c r="I114" s="336">
        <f>H114*$I$12</f>
        <v>38.9410962528</v>
      </c>
      <c r="J114" s="336">
        <f>H114+I114</f>
        <v>183.3813642528</v>
      </c>
      <c r="K114" s="125" t="s">
        <v>206</v>
      </c>
      <c r="L114" s="443">
        <f>H114/$J$313</f>
        <v>0.0008214532666526535</v>
      </c>
    </row>
    <row r="115" spans="1:12" ht="12.75">
      <c r="A115" s="64"/>
      <c r="B115" s="326" t="s">
        <v>1692</v>
      </c>
      <c r="C115" s="186" t="s">
        <v>412</v>
      </c>
      <c r="D115" s="306" t="s">
        <v>266</v>
      </c>
      <c r="E115" s="313">
        <v>11.6</v>
      </c>
      <c r="F115" s="308" t="s">
        <v>4</v>
      </c>
      <c r="G115" s="338">
        <f>'Composições Unitárias'!G2772</f>
        <v>17.380346</v>
      </c>
      <c r="H115" s="338">
        <f>E115*G115</f>
        <v>201.61201359999998</v>
      </c>
      <c r="I115" s="336">
        <f>H115*$I$12</f>
        <v>54.354598866559996</v>
      </c>
      <c r="J115" s="338">
        <f>H115+I115</f>
        <v>255.96661246655998</v>
      </c>
      <c r="K115" s="125" t="s">
        <v>206</v>
      </c>
      <c r="L115" s="443">
        <f>H115/$J$313</f>
        <v>0.0011465974790917668</v>
      </c>
    </row>
    <row r="116" spans="1:12" ht="12.75">
      <c r="A116" s="64"/>
      <c r="B116" s="326" t="s">
        <v>1693</v>
      </c>
      <c r="C116" s="378" t="s">
        <v>341</v>
      </c>
      <c r="D116" s="357" t="s">
        <v>267</v>
      </c>
      <c r="E116" s="322">
        <v>31.43</v>
      </c>
      <c r="F116" s="319" t="s">
        <v>4</v>
      </c>
      <c r="G116" s="336">
        <f>'Composições Unitárias'!G2787</f>
        <v>17.119602</v>
      </c>
      <c r="H116" s="336">
        <f>E116*G116</f>
        <v>538.06909086</v>
      </c>
      <c r="I116" s="336">
        <f>H116*$I$12</f>
        <v>145.063426895856</v>
      </c>
      <c r="J116" s="336">
        <f>H116+I116</f>
        <v>683.1325177558559</v>
      </c>
      <c r="K116" s="125" t="s">
        <v>206</v>
      </c>
      <c r="L116" s="443">
        <f>H116/$J$313</f>
        <v>0.003060078871992749</v>
      </c>
    </row>
    <row r="117" spans="1:12" ht="12.75">
      <c r="A117" s="64"/>
      <c r="B117" s="326" t="s">
        <v>1694</v>
      </c>
      <c r="C117" s="186" t="s">
        <v>413</v>
      </c>
      <c r="D117" s="306" t="s">
        <v>268</v>
      </c>
      <c r="E117" s="313">
        <v>6</v>
      </c>
      <c r="F117" s="308" t="s">
        <v>4</v>
      </c>
      <c r="G117" s="338">
        <f>'Composições Unitárias'!G2801</f>
        <v>6.564705999999999</v>
      </c>
      <c r="H117" s="338">
        <f>E117*G117</f>
        <v>39.38823599999999</v>
      </c>
      <c r="I117" s="336">
        <f>H117*$I$12</f>
        <v>10.619068425599998</v>
      </c>
      <c r="J117" s="338">
        <f>H117+I117</f>
        <v>50.00730442559999</v>
      </c>
      <c r="K117" s="125" t="s">
        <v>206</v>
      </c>
      <c r="L117" s="443">
        <f>H117/$J$313</f>
        <v>0.00022400675087286352</v>
      </c>
    </row>
    <row r="118" spans="1:12" ht="12.75">
      <c r="A118" s="64"/>
      <c r="B118" s="326" t="s">
        <v>1695</v>
      </c>
      <c r="C118" s="378" t="s">
        <v>414</v>
      </c>
      <c r="D118" s="357" t="s">
        <v>269</v>
      </c>
      <c r="E118" s="322">
        <v>35.85</v>
      </c>
      <c r="F118" s="319" t="s">
        <v>4</v>
      </c>
      <c r="G118" s="336">
        <f>'Composições Unitárias'!G2816</f>
        <v>3.41145</v>
      </c>
      <c r="H118" s="336">
        <f>E118*G118</f>
        <v>122.3004825</v>
      </c>
      <c r="I118" s="336">
        <f>H118*$I$12</f>
        <v>32.972210082000004</v>
      </c>
      <c r="J118" s="336">
        <f>H118+I118</f>
        <v>155.272692582</v>
      </c>
      <c r="K118" s="125" t="s">
        <v>206</v>
      </c>
      <c r="L118" s="443">
        <f>H118/$J$313</f>
        <v>0.0006955410167393257</v>
      </c>
    </row>
    <row r="119" spans="1:12" ht="12.75">
      <c r="A119" s="64"/>
      <c r="B119" s="580" t="s">
        <v>1523</v>
      </c>
      <c r="C119" s="580"/>
      <c r="D119" s="583" t="s">
        <v>1524</v>
      </c>
      <c r="E119" s="580"/>
      <c r="F119" s="580"/>
      <c r="G119" s="580"/>
      <c r="H119" s="580"/>
      <c r="I119" s="580"/>
      <c r="J119" s="580"/>
      <c r="K119" s="125"/>
      <c r="L119" s="443"/>
    </row>
    <row r="120" spans="1:12" ht="12.75">
      <c r="A120" s="64"/>
      <c r="B120" s="681" t="s">
        <v>1696</v>
      </c>
      <c r="C120" s="133" t="s">
        <v>1323</v>
      </c>
      <c r="D120" s="603" t="s">
        <v>1221</v>
      </c>
      <c r="E120" s="313">
        <v>2</v>
      </c>
      <c r="F120" s="325" t="s">
        <v>5</v>
      </c>
      <c r="G120" s="338">
        <f>'Composições Unitárias'!G1907</f>
        <v>25.600529312</v>
      </c>
      <c r="H120" s="338">
        <f>E120*G120</f>
        <v>51.201058624</v>
      </c>
      <c r="I120" s="337">
        <f>H120*$I$12</f>
        <v>13.803805405030399</v>
      </c>
      <c r="J120" s="338">
        <f>H120+I120</f>
        <v>65.0048640290304</v>
      </c>
      <c r="K120" s="125" t="s">
        <v>206</v>
      </c>
      <c r="L120" s="443">
        <f>H120/$J$313</f>
        <v>0.00029118802841572415</v>
      </c>
    </row>
    <row r="121" spans="1:12" ht="12.75">
      <c r="A121" s="64"/>
      <c r="B121" s="681" t="s">
        <v>1697</v>
      </c>
      <c r="C121" s="349" t="s">
        <v>330</v>
      </c>
      <c r="D121" s="357" t="s">
        <v>239</v>
      </c>
      <c r="E121" s="322">
        <v>4</v>
      </c>
      <c r="F121" s="319" t="s">
        <v>5</v>
      </c>
      <c r="G121" s="336">
        <f>'Composições Unitárias'!G1996</f>
        <v>6.48997</v>
      </c>
      <c r="H121" s="336">
        <f>E121*G121</f>
        <v>25.95988</v>
      </c>
      <c r="I121" s="336">
        <f>H121*$I$12</f>
        <v>6.998783648</v>
      </c>
      <c r="J121" s="336">
        <f>H121+I121</f>
        <v>32.958663648</v>
      </c>
      <c r="K121" s="125" t="s">
        <v>206</v>
      </c>
      <c r="L121" s="443">
        <f>H121/$J$313</f>
        <v>0.00014763769496682798</v>
      </c>
    </row>
    <row r="122" spans="1:12" ht="12.75">
      <c r="A122" s="64"/>
      <c r="B122" s="681" t="s">
        <v>1698</v>
      </c>
      <c r="C122" s="133" t="s">
        <v>331</v>
      </c>
      <c r="D122" s="306" t="s">
        <v>240</v>
      </c>
      <c r="E122" s="313">
        <v>18</v>
      </c>
      <c r="F122" s="308" t="s">
        <v>5</v>
      </c>
      <c r="G122" s="338">
        <f>'Composições Unitárias'!G2016</f>
        <v>7.147776</v>
      </c>
      <c r="H122" s="338">
        <f>E122*G122</f>
        <v>128.659968</v>
      </c>
      <c r="I122" s="336">
        <f>H122*$I$12</f>
        <v>34.6867273728</v>
      </c>
      <c r="J122" s="338">
        <f>H122+I122</f>
        <v>163.34669537279999</v>
      </c>
      <c r="K122" s="125" t="s">
        <v>206</v>
      </c>
      <c r="L122" s="443">
        <f>H122/$J$313</f>
        <v>0.0007317083557406987</v>
      </c>
    </row>
    <row r="123" spans="1:12" ht="12.75">
      <c r="A123" s="64"/>
      <c r="B123" s="680" t="s">
        <v>1699</v>
      </c>
      <c r="C123" s="349" t="s">
        <v>332</v>
      </c>
      <c r="D123" s="357" t="s">
        <v>241</v>
      </c>
      <c r="E123" s="322">
        <v>2</v>
      </c>
      <c r="F123" s="319" t="s">
        <v>5</v>
      </c>
      <c r="G123" s="336">
        <f>'Composições Unitárias'!G2036</f>
        <v>13.788967999999999</v>
      </c>
      <c r="H123" s="336">
        <f>E123*G123</f>
        <v>27.577935999999998</v>
      </c>
      <c r="I123" s="336">
        <f>H123*$I$12</f>
        <v>7.435011545599999</v>
      </c>
      <c r="J123" s="336">
        <f>H123+I123</f>
        <v>35.0129475456</v>
      </c>
      <c r="K123" s="125" t="s">
        <v>206</v>
      </c>
      <c r="L123" s="443">
        <f>H123/$J$313</f>
        <v>0.00015683981986753037</v>
      </c>
    </row>
    <row r="124" spans="1:12" ht="12.75">
      <c r="A124" s="64"/>
      <c r="B124" s="681" t="s">
        <v>1828</v>
      </c>
      <c r="C124" s="349" t="s">
        <v>1829</v>
      </c>
      <c r="D124" s="357" t="s">
        <v>1834</v>
      </c>
      <c r="E124" s="322">
        <v>2</v>
      </c>
      <c r="F124" s="319" t="s">
        <v>5</v>
      </c>
      <c r="G124" s="336">
        <f>'Composições Unitárias'!G3041</f>
        <v>8.287312</v>
      </c>
      <c r="H124" s="336">
        <f>E124*G124</f>
        <v>16.574624</v>
      </c>
      <c r="I124" s="336">
        <f>H124*$I$12</f>
        <v>4.4685186304</v>
      </c>
      <c r="J124" s="336">
        <f>H124+I124</f>
        <v>21.0431426304</v>
      </c>
      <c r="K124" s="125" t="s">
        <v>206</v>
      </c>
      <c r="L124" s="443">
        <f>H124/$J$313</f>
        <v>9.426234952942258E-05</v>
      </c>
    </row>
    <row r="125" spans="1:12" ht="12.75">
      <c r="A125" s="64"/>
      <c r="B125" s="580" t="s">
        <v>1527</v>
      </c>
      <c r="C125" s="580"/>
      <c r="D125" s="583" t="s">
        <v>1528</v>
      </c>
      <c r="E125" s="580"/>
      <c r="F125" s="580"/>
      <c r="G125" s="580"/>
      <c r="H125" s="580"/>
      <c r="I125" s="580"/>
      <c r="J125" s="580"/>
      <c r="K125" s="125"/>
      <c r="L125" s="443"/>
    </row>
    <row r="126" spans="1:12" ht="12.75">
      <c r="A126" s="64"/>
      <c r="B126" s="681" t="s">
        <v>1700</v>
      </c>
      <c r="C126" s="186" t="s">
        <v>409</v>
      </c>
      <c r="D126" s="306" t="s">
        <v>242</v>
      </c>
      <c r="E126" s="313">
        <v>3</v>
      </c>
      <c r="F126" s="308" t="s">
        <v>5</v>
      </c>
      <c r="G126" s="338">
        <f>'Composições Unitárias'!G2055</f>
        <v>22.830064</v>
      </c>
      <c r="H126" s="338">
        <f aca="true" t="shared" si="0" ref="H126:H131">E126*G126</f>
        <v>68.49019200000001</v>
      </c>
      <c r="I126" s="337">
        <f aca="true" t="shared" si="1" ref="I126:I131">H126*$I$12</f>
        <v>18.464955763200003</v>
      </c>
      <c r="J126" s="338">
        <f aca="true" t="shared" si="2" ref="J126:J131">H126+I126</f>
        <v>86.95514776320002</v>
      </c>
      <c r="K126" s="125" t="s">
        <v>206</v>
      </c>
      <c r="L126" s="443">
        <f aca="true" t="shared" si="3" ref="L126:L131">H126/$J$313</f>
        <v>0.00038951389893618474</v>
      </c>
    </row>
    <row r="127" spans="1:12" ht="12.75">
      <c r="A127" s="64"/>
      <c r="B127" s="681" t="s">
        <v>1701</v>
      </c>
      <c r="C127" s="349" t="s">
        <v>1254</v>
      </c>
      <c r="D127" s="357" t="s">
        <v>1222</v>
      </c>
      <c r="E127" s="322">
        <v>1</v>
      </c>
      <c r="F127" s="319" t="s">
        <v>5</v>
      </c>
      <c r="G127" s="336">
        <f>'Composições Unitárias'!G2226</f>
        <v>25.284907999999994</v>
      </c>
      <c r="H127" s="336">
        <f t="shared" si="0"/>
        <v>25.284907999999994</v>
      </c>
      <c r="I127" s="336">
        <f t="shared" si="1"/>
        <v>6.816811196799999</v>
      </c>
      <c r="J127" s="336">
        <f t="shared" si="2"/>
        <v>32.10171919679999</v>
      </c>
      <c r="K127" s="125" t="s">
        <v>206</v>
      </c>
      <c r="L127" s="443">
        <f t="shared" si="3"/>
        <v>0.00014379902890800374</v>
      </c>
    </row>
    <row r="128" spans="1:12" ht="12.75">
      <c r="A128" s="64"/>
      <c r="B128" s="681" t="s">
        <v>1702</v>
      </c>
      <c r="C128" s="349" t="s">
        <v>1253</v>
      </c>
      <c r="D128" s="357" t="s">
        <v>1223</v>
      </c>
      <c r="E128" s="322">
        <v>1</v>
      </c>
      <c r="F128" s="319" t="s">
        <v>5</v>
      </c>
      <c r="G128" s="336">
        <f>'Composições Unitárias'!G2243</f>
        <v>23.831177999999998</v>
      </c>
      <c r="H128" s="336">
        <f t="shared" si="0"/>
        <v>23.831177999999998</v>
      </c>
      <c r="I128" s="336">
        <f t="shared" si="1"/>
        <v>6.4248855888</v>
      </c>
      <c r="J128" s="336">
        <f t="shared" si="2"/>
        <v>30.256063588799996</v>
      </c>
      <c r="K128" s="125" t="s">
        <v>206</v>
      </c>
      <c r="L128" s="443">
        <f t="shared" si="3"/>
        <v>0.0001355314503866806</v>
      </c>
    </row>
    <row r="129" spans="1:12" ht="12.75">
      <c r="A129" s="64"/>
      <c r="B129" s="681" t="s">
        <v>1703</v>
      </c>
      <c r="C129" s="378" t="s">
        <v>1405</v>
      </c>
      <c r="D129" s="357" t="s">
        <v>1389</v>
      </c>
      <c r="E129" s="322">
        <v>1</v>
      </c>
      <c r="F129" s="322" t="s">
        <v>5</v>
      </c>
      <c r="G129" s="336">
        <f>'Composições Unitárias'!G2895</f>
        <v>23.622772</v>
      </c>
      <c r="H129" s="336">
        <f t="shared" si="0"/>
        <v>23.622772</v>
      </c>
      <c r="I129" s="336">
        <f t="shared" si="1"/>
        <v>6.3686993312</v>
      </c>
      <c r="J129" s="336">
        <f t="shared" si="2"/>
        <v>29.991471331200003</v>
      </c>
      <c r="K129" s="125" t="s">
        <v>206</v>
      </c>
      <c r="L129" s="443">
        <f t="shared" si="3"/>
        <v>0.0001343462144974062</v>
      </c>
    </row>
    <row r="130" spans="1:12" ht="12.75">
      <c r="A130" s="64"/>
      <c r="B130" s="681" t="s">
        <v>1704</v>
      </c>
      <c r="C130" s="378" t="s">
        <v>1406</v>
      </c>
      <c r="D130" s="357" t="s">
        <v>1390</v>
      </c>
      <c r="E130" s="322">
        <v>1</v>
      </c>
      <c r="F130" s="322" t="s">
        <v>5</v>
      </c>
      <c r="G130" s="336">
        <f>'Composições Unitárias'!G2912</f>
        <v>21.263303999999998</v>
      </c>
      <c r="H130" s="336">
        <f t="shared" si="0"/>
        <v>21.263303999999998</v>
      </c>
      <c r="I130" s="336">
        <f t="shared" si="1"/>
        <v>5.732586758399999</v>
      </c>
      <c r="J130" s="336">
        <f t="shared" si="2"/>
        <v>26.995890758399998</v>
      </c>
      <c r="K130" s="125" t="s">
        <v>206</v>
      </c>
      <c r="L130" s="443">
        <f t="shared" si="3"/>
        <v>0.00012092756938548765</v>
      </c>
    </row>
    <row r="131" spans="1:12" ht="12.75">
      <c r="A131" s="64"/>
      <c r="B131" s="681" t="s">
        <v>1705</v>
      </c>
      <c r="C131" s="378" t="s">
        <v>1410</v>
      </c>
      <c r="D131" s="357" t="s">
        <v>1394</v>
      </c>
      <c r="E131" s="322">
        <v>1</v>
      </c>
      <c r="F131" s="322" t="s">
        <v>5</v>
      </c>
      <c r="G131" s="336">
        <f>'Composições Unitárias'!G2989</f>
        <v>5.617284</v>
      </c>
      <c r="H131" s="336">
        <f t="shared" si="0"/>
        <v>5.617284</v>
      </c>
      <c r="I131" s="336">
        <f t="shared" si="1"/>
        <v>1.5144197663999999</v>
      </c>
      <c r="J131" s="336">
        <f t="shared" si="2"/>
        <v>7.131703766399999</v>
      </c>
      <c r="K131" s="125" t="s">
        <v>206</v>
      </c>
      <c r="L131" s="443">
        <f t="shared" si="3"/>
        <v>3.194632878634429E-05</v>
      </c>
    </row>
    <row r="132" spans="1:12" ht="12.75">
      <c r="A132" s="64"/>
      <c r="B132" s="578" t="s">
        <v>1529</v>
      </c>
      <c r="C132" s="578"/>
      <c r="D132" s="579" t="s">
        <v>1530</v>
      </c>
      <c r="E132" s="578"/>
      <c r="F132" s="578"/>
      <c r="G132" s="578"/>
      <c r="H132" s="578"/>
      <c r="I132" s="578"/>
      <c r="J132" s="578"/>
      <c r="K132" s="125"/>
      <c r="L132" s="443"/>
    </row>
    <row r="133" spans="1:12" ht="12.75">
      <c r="A133" s="64"/>
      <c r="B133" s="681" t="s">
        <v>1706</v>
      </c>
      <c r="C133" s="349" t="s">
        <v>333</v>
      </c>
      <c r="D133" s="357" t="s">
        <v>243</v>
      </c>
      <c r="E133" s="322">
        <v>17</v>
      </c>
      <c r="F133" s="319" t="s">
        <v>5</v>
      </c>
      <c r="G133" s="336">
        <f>'Composições Unitárias'!G2076</f>
        <v>8.952210000000001</v>
      </c>
      <c r="H133" s="336">
        <f>E133*G133</f>
        <v>152.18757000000002</v>
      </c>
      <c r="I133" s="336">
        <f>H133*$I$12</f>
        <v>41.029768872000005</v>
      </c>
      <c r="J133" s="336">
        <f>H133+I133</f>
        <v>193.21733887200003</v>
      </c>
      <c r="K133" s="125" t="s">
        <v>206</v>
      </c>
      <c r="L133" s="443">
        <f>H133/$J$313</f>
        <v>0.0008655133243066911</v>
      </c>
    </row>
    <row r="134" spans="1:12" ht="12.75">
      <c r="A134" s="64"/>
      <c r="B134" s="681" t="s">
        <v>1707</v>
      </c>
      <c r="C134" s="133" t="s">
        <v>334</v>
      </c>
      <c r="D134" s="306" t="s">
        <v>244</v>
      </c>
      <c r="E134" s="313">
        <v>6</v>
      </c>
      <c r="F134" s="308" t="s">
        <v>5</v>
      </c>
      <c r="G134" s="338">
        <f>'Composições Unitárias'!G2095</f>
        <v>10.838487999999998</v>
      </c>
      <c r="H134" s="338">
        <f>E134*G134</f>
        <v>65.03092799999999</v>
      </c>
      <c r="I134" s="336">
        <f>H134*$I$12</f>
        <v>17.532338188799997</v>
      </c>
      <c r="J134" s="338">
        <f>H134+I134</f>
        <v>82.56326618879999</v>
      </c>
      <c r="K134" s="125" t="s">
        <v>206</v>
      </c>
      <c r="L134" s="443">
        <f>H134/$J$313</f>
        <v>0.00036984055055238127</v>
      </c>
    </row>
    <row r="135" spans="1:12" ht="12.75">
      <c r="A135" s="64"/>
      <c r="B135" s="681" t="s">
        <v>1708</v>
      </c>
      <c r="C135" s="349" t="s">
        <v>335</v>
      </c>
      <c r="D135" s="357" t="s">
        <v>245</v>
      </c>
      <c r="E135" s="322">
        <v>3</v>
      </c>
      <c r="F135" s="319" t="s">
        <v>5</v>
      </c>
      <c r="G135" s="336">
        <f>'Composições Unitárias'!G2113</f>
        <v>25.459404</v>
      </c>
      <c r="H135" s="336">
        <f>E135*G135</f>
        <v>76.37821199999999</v>
      </c>
      <c r="I135" s="336">
        <f>H135*$I$12</f>
        <v>20.591565955199997</v>
      </c>
      <c r="J135" s="336">
        <f>H135+I135</f>
        <v>96.96977795519999</v>
      </c>
      <c r="K135" s="125" t="s">
        <v>206</v>
      </c>
      <c r="L135" s="443">
        <f>H135/$J$313</f>
        <v>0.000434374240765663</v>
      </c>
    </row>
    <row r="136" spans="1:12" ht="12.75">
      <c r="A136" s="64"/>
      <c r="B136" s="681" t="s">
        <v>1709</v>
      </c>
      <c r="C136" s="349" t="s">
        <v>1318</v>
      </c>
      <c r="D136" s="357" t="s">
        <v>1317</v>
      </c>
      <c r="E136" s="322">
        <f>8+1</f>
        <v>9</v>
      </c>
      <c r="F136" s="319" t="s">
        <v>5</v>
      </c>
      <c r="G136" s="336">
        <f>'Composições Unitárias'!G2264</f>
        <v>15.575597999999998</v>
      </c>
      <c r="H136" s="336">
        <f>E136*G136</f>
        <v>140.18038199999998</v>
      </c>
      <c r="I136" s="336">
        <f>H136*$I$12</f>
        <v>37.7926309872</v>
      </c>
      <c r="J136" s="336">
        <f>H136+I136</f>
        <v>177.97301298719998</v>
      </c>
      <c r="K136" s="125" t="s">
        <v>206</v>
      </c>
      <c r="L136" s="443">
        <f>H136/$J$313</f>
        <v>0.0007972266619895556</v>
      </c>
    </row>
    <row r="137" spans="1:12" ht="12.75">
      <c r="A137" s="64"/>
      <c r="B137" s="580" t="s">
        <v>1531</v>
      </c>
      <c r="C137" s="580"/>
      <c r="D137" s="583" t="s">
        <v>1532</v>
      </c>
      <c r="E137" s="580"/>
      <c r="F137" s="580"/>
      <c r="G137" s="580"/>
      <c r="H137" s="580"/>
      <c r="I137" s="580"/>
      <c r="J137" s="580"/>
      <c r="K137" s="125"/>
      <c r="L137" s="443"/>
    </row>
    <row r="138" spans="1:12" ht="12.75">
      <c r="A138" s="64"/>
      <c r="B138" s="681" t="s">
        <v>1710</v>
      </c>
      <c r="C138" s="349" t="s">
        <v>336</v>
      </c>
      <c r="D138" s="357" t="s">
        <v>246</v>
      </c>
      <c r="E138" s="322">
        <v>1</v>
      </c>
      <c r="F138" s="319" t="s">
        <v>5</v>
      </c>
      <c r="G138" s="336">
        <f>'Composições Unitárias'!G2133</f>
        <v>6.419969999999999</v>
      </c>
      <c r="H138" s="336">
        <f>E138*G138</f>
        <v>6.419969999999999</v>
      </c>
      <c r="I138" s="336">
        <f>H138*$I$12</f>
        <v>1.7308239119999997</v>
      </c>
      <c r="J138" s="336">
        <f>H138+I138</f>
        <v>8.150793912</v>
      </c>
      <c r="K138" s="125" t="s">
        <v>206</v>
      </c>
      <c r="L138" s="443">
        <f>H138/$J$313</f>
        <v>3.65113233403308E-05</v>
      </c>
    </row>
    <row r="139" spans="1:12" ht="12.75">
      <c r="A139" s="64"/>
      <c r="B139" s="681" t="s">
        <v>1827</v>
      </c>
      <c r="C139" s="378" t="s">
        <v>1409</v>
      </c>
      <c r="D139" s="357" t="s">
        <v>1393</v>
      </c>
      <c r="E139" s="322">
        <v>2</v>
      </c>
      <c r="F139" s="322" t="s">
        <v>5</v>
      </c>
      <c r="G139" s="336">
        <f>'Composições Unitárias'!G2969</f>
        <v>83.820268</v>
      </c>
      <c r="H139" s="336">
        <f>E139*G139</f>
        <v>167.640536</v>
      </c>
      <c r="I139" s="336">
        <f>H139*$I$12</f>
        <v>45.1958885056</v>
      </c>
      <c r="J139" s="336">
        <f>H139+I139</f>
        <v>212.8364245056</v>
      </c>
      <c r="K139" s="125" t="s">
        <v>206</v>
      </c>
      <c r="L139" s="1"/>
    </row>
    <row r="140" spans="1:12" ht="12.75">
      <c r="A140" s="64"/>
      <c r="B140" s="580" t="s">
        <v>1533</v>
      </c>
      <c r="C140" s="583"/>
      <c r="D140" s="583" t="s">
        <v>1534</v>
      </c>
      <c r="E140" s="583"/>
      <c r="F140" s="583"/>
      <c r="G140" s="583"/>
      <c r="H140" s="583"/>
      <c r="I140" s="583"/>
      <c r="J140" s="583"/>
      <c r="K140" s="125"/>
      <c r="L140" s="443"/>
    </row>
    <row r="141" spans="1:12" ht="12.75">
      <c r="A141" s="64"/>
      <c r="B141" s="681" t="s">
        <v>1711</v>
      </c>
      <c r="C141" s="349" t="s">
        <v>337</v>
      </c>
      <c r="D141" s="357" t="s">
        <v>247</v>
      </c>
      <c r="E141" s="322">
        <v>5</v>
      </c>
      <c r="F141" s="319" t="s">
        <v>5</v>
      </c>
      <c r="G141" s="336">
        <f>'Composições Unitárias'!G2153</f>
        <v>8.049786</v>
      </c>
      <c r="H141" s="336">
        <f aca="true" t="shared" si="4" ref="H141:H146">E141*G141</f>
        <v>40.248929999999994</v>
      </c>
      <c r="I141" s="336">
        <f aca="true" t="shared" si="5" ref="I141:I146">H141*$I$12</f>
        <v>10.851111527999999</v>
      </c>
      <c r="J141" s="336">
        <f aca="true" t="shared" si="6" ref="J141:J146">H141+I141</f>
        <v>51.10004152799999</v>
      </c>
      <c r="K141" s="125" t="s">
        <v>206</v>
      </c>
      <c r="L141" s="443">
        <f aca="true" t="shared" si="7" ref="L141:L149">H141/$J$313</f>
        <v>0.0002289016455423219</v>
      </c>
    </row>
    <row r="142" spans="1:12" ht="12.75">
      <c r="A142" s="64"/>
      <c r="B142" s="681" t="s">
        <v>1712</v>
      </c>
      <c r="C142" s="133" t="s">
        <v>338</v>
      </c>
      <c r="D142" s="306" t="s">
        <v>248</v>
      </c>
      <c r="E142" s="313">
        <v>4</v>
      </c>
      <c r="F142" s="308" t="s">
        <v>5</v>
      </c>
      <c r="G142" s="338">
        <f>'Composições Unitárias'!G2170</f>
        <v>16.097607999999997</v>
      </c>
      <c r="H142" s="338">
        <f t="shared" si="4"/>
        <v>64.39043199999999</v>
      </c>
      <c r="I142" s="336">
        <f t="shared" si="5"/>
        <v>17.359660467199998</v>
      </c>
      <c r="J142" s="338">
        <f t="shared" si="6"/>
        <v>81.75009246719999</v>
      </c>
      <c r="K142" s="125" t="s">
        <v>206</v>
      </c>
      <c r="L142" s="443">
        <f t="shared" si="7"/>
        <v>0.0003661979546283834</v>
      </c>
    </row>
    <row r="143" spans="1:12" ht="12.75">
      <c r="A143" s="64"/>
      <c r="B143" s="681" t="s">
        <v>1713</v>
      </c>
      <c r="C143" s="349" t="s">
        <v>339</v>
      </c>
      <c r="D143" s="357" t="s">
        <v>249</v>
      </c>
      <c r="E143" s="322">
        <v>2</v>
      </c>
      <c r="F143" s="319" t="s">
        <v>5</v>
      </c>
      <c r="G143" s="336">
        <f>'Composições Unitárias'!G2188</f>
        <v>30.036825999999998</v>
      </c>
      <c r="H143" s="336">
        <f t="shared" si="4"/>
        <v>60.073651999999996</v>
      </c>
      <c r="I143" s="336">
        <f t="shared" si="5"/>
        <v>16.1958565792</v>
      </c>
      <c r="J143" s="336">
        <f t="shared" si="6"/>
        <v>76.2695085792</v>
      </c>
      <c r="K143" s="125" t="s">
        <v>206</v>
      </c>
      <c r="L143" s="443">
        <f t="shared" si="7"/>
        <v>0.0003416477853333442</v>
      </c>
    </row>
    <row r="144" spans="1:12" ht="12.75">
      <c r="A144" s="64"/>
      <c r="B144" s="681" t="s">
        <v>1714</v>
      </c>
      <c r="C144" s="133" t="s">
        <v>340</v>
      </c>
      <c r="D144" s="306" t="s">
        <v>250</v>
      </c>
      <c r="E144" s="322">
        <v>2</v>
      </c>
      <c r="F144" s="319" t="s">
        <v>5</v>
      </c>
      <c r="G144" s="336">
        <f>'Composições Unitárias'!G2206</f>
        <v>15.877607999999997</v>
      </c>
      <c r="H144" s="338">
        <f t="shared" si="4"/>
        <v>31.755215999999994</v>
      </c>
      <c r="I144" s="336">
        <f t="shared" si="5"/>
        <v>8.561206233599998</v>
      </c>
      <c r="J144" s="338">
        <f t="shared" si="6"/>
        <v>40.316422233599994</v>
      </c>
      <c r="K144" s="125" t="s">
        <v>206</v>
      </c>
      <c r="L144" s="443">
        <f t="shared" si="7"/>
        <v>0.00018059663193411275</v>
      </c>
    </row>
    <row r="145" spans="1:12" ht="12.75">
      <c r="A145" s="64"/>
      <c r="B145" s="681" t="s">
        <v>1715</v>
      </c>
      <c r="C145" s="349" t="s">
        <v>1226</v>
      </c>
      <c r="D145" s="357" t="s">
        <v>1224</v>
      </c>
      <c r="E145" s="313">
        <v>1</v>
      </c>
      <c r="F145" s="308" t="s">
        <v>5</v>
      </c>
      <c r="G145" s="338">
        <f>'Composições Unitárias'!G2283</f>
        <v>59.11148</v>
      </c>
      <c r="H145" s="336">
        <f t="shared" si="4"/>
        <v>59.11148</v>
      </c>
      <c r="I145" s="336">
        <f t="shared" si="5"/>
        <v>15.936455008000001</v>
      </c>
      <c r="J145" s="336">
        <f t="shared" si="6"/>
        <v>75.047935008</v>
      </c>
      <c r="K145" s="125" t="s">
        <v>206</v>
      </c>
      <c r="L145" s="443">
        <f t="shared" si="7"/>
        <v>0.00033617577019915936</v>
      </c>
    </row>
    <row r="146" spans="1:12" ht="12.75">
      <c r="A146" s="64"/>
      <c r="B146" s="681" t="s">
        <v>1716</v>
      </c>
      <c r="C146" s="133" t="s">
        <v>1243</v>
      </c>
      <c r="D146" s="357" t="s">
        <v>1225</v>
      </c>
      <c r="E146" s="322">
        <v>1</v>
      </c>
      <c r="F146" s="319" t="s">
        <v>5</v>
      </c>
      <c r="G146" s="336">
        <f>'Composições Unitárias'!G2300</f>
        <v>11.73962</v>
      </c>
      <c r="H146" s="338">
        <f t="shared" si="4"/>
        <v>11.73962</v>
      </c>
      <c r="I146" s="336">
        <f t="shared" si="5"/>
        <v>3.165001552</v>
      </c>
      <c r="J146" s="338">
        <f t="shared" si="6"/>
        <v>14.904621552</v>
      </c>
      <c r="K146" s="125" t="s">
        <v>206</v>
      </c>
      <c r="L146" s="443">
        <f t="shared" si="7"/>
        <v>6.676496334291504E-05</v>
      </c>
    </row>
    <row r="147" spans="1:12" ht="12.75">
      <c r="A147" s="64"/>
      <c r="B147" s="681" t="s">
        <v>1717</v>
      </c>
      <c r="C147" s="349" t="s">
        <v>1118</v>
      </c>
      <c r="D147" s="357" t="s">
        <v>251</v>
      </c>
      <c r="E147" s="322">
        <v>5</v>
      </c>
      <c r="F147" s="319" t="s">
        <v>5</v>
      </c>
      <c r="G147" s="336">
        <f>'Composições Unitárias'!G2318</f>
        <v>17.91896</v>
      </c>
      <c r="H147" s="336">
        <f>E147*G147</f>
        <v>89.59479999999999</v>
      </c>
      <c r="I147" s="336">
        <f>H147*$I$12</f>
        <v>24.154758079999997</v>
      </c>
      <c r="J147" s="336">
        <f>H147+I147</f>
        <v>113.74955807999999</v>
      </c>
      <c r="K147" s="125" t="s">
        <v>206</v>
      </c>
      <c r="L147" s="443">
        <f t="shared" si="7"/>
        <v>0.000509538940588861</v>
      </c>
    </row>
    <row r="148" spans="1:12" ht="12.75">
      <c r="A148" s="64"/>
      <c r="B148" s="681" t="s">
        <v>1825</v>
      </c>
      <c r="C148" s="378" t="s">
        <v>1407</v>
      </c>
      <c r="D148" s="357" t="s">
        <v>1391</v>
      </c>
      <c r="E148" s="322">
        <v>1</v>
      </c>
      <c r="F148" s="322" t="s">
        <v>5</v>
      </c>
      <c r="G148" s="336">
        <f>'Composições Unitárias'!G2932</f>
        <v>108.747608</v>
      </c>
      <c r="H148" s="336">
        <f>E148*G148</f>
        <v>108.747608</v>
      </c>
      <c r="I148" s="336">
        <f>H148*$I$12</f>
        <v>29.3183551168</v>
      </c>
      <c r="J148" s="336">
        <f>H148+I148</f>
        <v>138.0659631168</v>
      </c>
      <c r="K148" s="125" t="s">
        <v>206</v>
      </c>
      <c r="L148" s="443">
        <f t="shared" si="7"/>
        <v>0.0006184638056214506</v>
      </c>
    </row>
    <row r="149" spans="1:12" ht="12.75">
      <c r="A149" s="64"/>
      <c r="B149" s="681" t="s">
        <v>1826</v>
      </c>
      <c r="C149" s="378" t="s">
        <v>1408</v>
      </c>
      <c r="D149" s="357" t="s">
        <v>1392</v>
      </c>
      <c r="E149" s="322">
        <v>1</v>
      </c>
      <c r="F149" s="322" t="s">
        <v>5</v>
      </c>
      <c r="G149" s="336">
        <f>'Composições Unitárias'!G2949</f>
        <v>102.227608</v>
      </c>
      <c r="H149" s="336">
        <f>E149*G149</f>
        <v>102.227608</v>
      </c>
      <c r="I149" s="336">
        <f>H149*$I$12</f>
        <v>27.5605631168</v>
      </c>
      <c r="J149" s="653">
        <f>H149+I149</f>
        <v>129.78817111680002</v>
      </c>
      <c r="K149" s="125" t="s">
        <v>206</v>
      </c>
      <c r="L149" s="443">
        <f t="shared" si="7"/>
        <v>0.0005813835968075532</v>
      </c>
    </row>
    <row r="150" spans="1:12" ht="12.75">
      <c r="A150" s="64"/>
      <c r="B150" s="571" t="s">
        <v>1559</v>
      </c>
      <c r="C150" s="571"/>
      <c r="D150" s="622" t="s">
        <v>1560</v>
      </c>
      <c r="E150" s="571"/>
      <c r="F150" s="571"/>
      <c r="G150" s="571"/>
      <c r="H150" s="571"/>
      <c r="I150" s="571"/>
      <c r="J150" s="571"/>
      <c r="K150" s="125"/>
      <c r="L150" s="443"/>
    </row>
    <row r="151" spans="1:12" ht="12.75">
      <c r="A151" s="64"/>
      <c r="B151" s="580" t="s">
        <v>1561</v>
      </c>
      <c r="C151" s="583"/>
      <c r="D151" s="583" t="s">
        <v>1562</v>
      </c>
      <c r="E151" s="583"/>
      <c r="F151" s="583"/>
      <c r="G151" s="583"/>
      <c r="H151" s="583"/>
      <c r="I151" s="583"/>
      <c r="J151" s="583"/>
      <c r="K151" s="125"/>
      <c r="L151" s="443"/>
    </row>
    <row r="152" spans="1:12" ht="25.5">
      <c r="A152" s="64"/>
      <c r="B152" s="681" t="s">
        <v>1718</v>
      </c>
      <c r="C152" s="349" t="s">
        <v>312</v>
      </c>
      <c r="D152" s="321" t="s">
        <v>204</v>
      </c>
      <c r="E152" s="322">
        <v>6</v>
      </c>
      <c r="F152" s="319" t="s">
        <v>5</v>
      </c>
      <c r="G152" s="336">
        <f>'Composições Unitárias'!G1331</f>
        <v>150.8</v>
      </c>
      <c r="H152" s="336">
        <f>E152*G152</f>
        <v>904.8000000000001</v>
      </c>
      <c r="I152" s="336">
        <f>ROUND(H152*$I$12,2)</f>
        <v>243.93</v>
      </c>
      <c r="J152" s="338">
        <f>H152+I152</f>
        <v>1148.73</v>
      </c>
      <c r="K152" s="113" t="s">
        <v>182</v>
      </c>
      <c r="L152" s="443">
        <f>H152/$J$313</f>
        <v>0.005145732045216926</v>
      </c>
    </row>
    <row r="153" spans="1:12" ht="25.5">
      <c r="A153" s="64"/>
      <c r="B153" s="681" t="s">
        <v>1719</v>
      </c>
      <c r="C153" s="133" t="s">
        <v>310</v>
      </c>
      <c r="D153" s="300" t="s">
        <v>202</v>
      </c>
      <c r="E153" s="313">
        <v>2</v>
      </c>
      <c r="F153" s="308" t="s">
        <v>5</v>
      </c>
      <c r="G153" s="338">
        <f>'Composições Unitárias'!G1297</f>
        <v>291.06422684</v>
      </c>
      <c r="H153" s="338">
        <f>E153*G153</f>
        <v>582.12845368</v>
      </c>
      <c r="I153" s="338">
        <f>ROUND(H153*$I$12,2)</f>
        <v>156.94</v>
      </c>
      <c r="J153" s="336">
        <f>H153+I153</f>
        <v>739.06845368</v>
      </c>
      <c r="K153" s="113" t="s">
        <v>145</v>
      </c>
      <c r="L153" s="443">
        <f>H153/$J$313</f>
        <v>0.003310651015178772</v>
      </c>
    </row>
    <row r="154" spans="1:12" ht="12.75">
      <c r="A154" s="64"/>
      <c r="B154" s="580" t="s">
        <v>1563</v>
      </c>
      <c r="C154" s="583"/>
      <c r="D154" s="583" t="s">
        <v>1564</v>
      </c>
      <c r="E154" s="583"/>
      <c r="F154" s="583"/>
      <c r="G154" s="583"/>
      <c r="H154" s="583"/>
      <c r="I154" s="583"/>
      <c r="J154" s="583"/>
      <c r="K154" s="125"/>
      <c r="L154" s="443"/>
    </row>
    <row r="155" spans="1:12" ht="25.5">
      <c r="A155" s="64"/>
      <c r="B155" s="681" t="s">
        <v>1720</v>
      </c>
      <c r="C155" s="133" t="s">
        <v>300</v>
      </c>
      <c r="D155" s="300" t="s">
        <v>181</v>
      </c>
      <c r="E155" s="313">
        <v>6</v>
      </c>
      <c r="F155" s="308" t="s">
        <v>5</v>
      </c>
      <c r="G155" s="338">
        <f>'Composições Unitárias'!G1006</f>
        <v>185.82254532000002</v>
      </c>
      <c r="H155" s="338">
        <f>E155*G155</f>
        <v>1114.93527192</v>
      </c>
      <c r="I155" s="338">
        <f>ROUND(H155*$I$12,2)</f>
        <v>300.59</v>
      </c>
      <c r="J155" s="336">
        <f>H155+I155</f>
        <v>1415.52527192</v>
      </c>
      <c r="K155" s="113" t="s">
        <v>182</v>
      </c>
      <c r="L155" s="443">
        <f>H155/$J$313</f>
        <v>0.006340802560854765</v>
      </c>
    </row>
    <row r="156" spans="1:12" ht="25.5">
      <c r="A156" s="64"/>
      <c r="B156" s="681" t="s">
        <v>1721</v>
      </c>
      <c r="C156" s="349" t="s">
        <v>311</v>
      </c>
      <c r="D156" s="321" t="s">
        <v>203</v>
      </c>
      <c r="E156" s="322">
        <v>2</v>
      </c>
      <c r="F156" s="319" t="s">
        <v>5</v>
      </c>
      <c r="G156" s="336">
        <f>'Composições Unitárias'!G1313</f>
        <v>682.8199999999999</v>
      </c>
      <c r="H156" s="336">
        <f>E156*G156</f>
        <v>1365.6399999999999</v>
      </c>
      <c r="I156" s="336">
        <f>ROUND(H156*$I$12,2)</f>
        <v>368.18</v>
      </c>
      <c r="J156" s="338">
        <f>H156+I156</f>
        <v>1733.82</v>
      </c>
      <c r="K156" s="113" t="s">
        <v>145</v>
      </c>
      <c r="L156" s="443">
        <f>H156/$J$313</f>
        <v>0.007766597601934175</v>
      </c>
    </row>
    <row r="157" spans="1:12" ht="25.5">
      <c r="A157" s="64"/>
      <c r="B157" s="681" t="s">
        <v>1722</v>
      </c>
      <c r="C157" s="186" t="s">
        <v>387</v>
      </c>
      <c r="D157" s="300" t="s">
        <v>185</v>
      </c>
      <c r="E157" s="313">
        <v>2</v>
      </c>
      <c r="F157" s="308" t="s">
        <v>5</v>
      </c>
      <c r="G157" s="338">
        <f>'Composições Unitárias'!G1036</f>
        <v>116.7507768</v>
      </c>
      <c r="H157" s="338">
        <f>E157*G157</f>
        <v>233.5015536</v>
      </c>
      <c r="I157" s="338">
        <f>ROUND(H157*$I$12,2)</f>
        <v>62.95</v>
      </c>
      <c r="J157" s="336">
        <f>H157+I157</f>
        <v>296.4515536</v>
      </c>
      <c r="K157" s="113" t="s">
        <v>145</v>
      </c>
      <c r="L157" s="443">
        <f>H157/$J$313</f>
        <v>0.001327958031573229</v>
      </c>
    </row>
    <row r="158" spans="1:12" ht="12.75">
      <c r="A158" s="64"/>
      <c r="B158" s="681" t="s">
        <v>1723</v>
      </c>
      <c r="C158" s="378" t="s">
        <v>386</v>
      </c>
      <c r="D158" s="321" t="s">
        <v>183</v>
      </c>
      <c r="E158" s="322">
        <v>6</v>
      </c>
      <c r="F158" s="319" t="s">
        <v>5</v>
      </c>
      <c r="G158" s="336">
        <f>'Composições Unitárias'!G1020</f>
        <v>29.1807768</v>
      </c>
      <c r="H158" s="336">
        <f>E158*G158</f>
        <v>175.0846608</v>
      </c>
      <c r="I158" s="336">
        <f>ROUND(H158*$I$12,2)</f>
        <v>47.2</v>
      </c>
      <c r="J158" s="336">
        <f>H158+I158</f>
        <v>222.28466079999998</v>
      </c>
      <c r="K158" s="113" t="s">
        <v>184</v>
      </c>
      <c r="L158" s="443">
        <f>H158/$J$313</f>
        <v>0.0009957324819899378</v>
      </c>
    </row>
    <row r="159" spans="1:12" ht="12.75">
      <c r="A159" s="64"/>
      <c r="B159" s="580" t="s">
        <v>1565</v>
      </c>
      <c r="C159" s="583"/>
      <c r="D159" s="583" t="s">
        <v>1375</v>
      </c>
      <c r="E159" s="583"/>
      <c r="F159" s="583"/>
      <c r="G159" s="583"/>
      <c r="H159" s="583"/>
      <c r="I159" s="583"/>
      <c r="J159" s="583"/>
      <c r="K159" s="125"/>
      <c r="L159" s="443"/>
    </row>
    <row r="160" spans="1:12" ht="12.75">
      <c r="A160" s="64"/>
      <c r="B160" s="681" t="s">
        <v>1724</v>
      </c>
      <c r="C160" s="378" t="s">
        <v>392</v>
      </c>
      <c r="D160" s="321" t="s">
        <v>205</v>
      </c>
      <c r="E160" s="322">
        <v>1</v>
      </c>
      <c r="F160" s="319" t="s">
        <v>5</v>
      </c>
      <c r="G160" s="336">
        <f>'Composições Unitárias'!G1351</f>
        <v>1482.5598186666666</v>
      </c>
      <c r="H160" s="336">
        <f>E160*G160</f>
        <v>1482.5598186666666</v>
      </c>
      <c r="I160" s="336">
        <f>ROUND(H160*$I$12,2)</f>
        <v>399.7</v>
      </c>
      <c r="J160" s="338">
        <f>H160+I160</f>
        <v>1882.2598186666667</v>
      </c>
      <c r="K160" s="113" t="s">
        <v>118</v>
      </c>
      <c r="L160" s="443">
        <f>H160/$J$313</f>
        <v>0.008431537983934638</v>
      </c>
    </row>
    <row r="161" spans="1:12" ht="12.75">
      <c r="A161" s="64"/>
      <c r="B161" s="580" t="s">
        <v>1566</v>
      </c>
      <c r="C161" s="583"/>
      <c r="D161" s="583" t="s">
        <v>1567</v>
      </c>
      <c r="E161" s="583"/>
      <c r="F161" s="583"/>
      <c r="G161" s="583"/>
      <c r="H161" s="583"/>
      <c r="I161" s="583"/>
      <c r="J161" s="583"/>
      <c r="K161" s="125"/>
      <c r="L161" s="443"/>
    </row>
    <row r="162" spans="1:12" ht="25.5">
      <c r="A162" s="64"/>
      <c r="B162" s="681" t="s">
        <v>1725</v>
      </c>
      <c r="C162" s="349" t="s">
        <v>302</v>
      </c>
      <c r="D162" s="321" t="s">
        <v>189</v>
      </c>
      <c r="E162" s="322">
        <v>2</v>
      </c>
      <c r="F162" s="319" t="s">
        <v>5</v>
      </c>
      <c r="G162" s="336">
        <f>'Composições Unitárias'!G1089</f>
        <v>521.7386576000001</v>
      </c>
      <c r="H162" s="336">
        <f>E162*G162</f>
        <v>1043.4773152000002</v>
      </c>
      <c r="I162" s="336">
        <f>ROUND(H162*$I$12,2)</f>
        <v>281.32</v>
      </c>
      <c r="J162" s="338">
        <f>H162+I162</f>
        <v>1324.7973152000002</v>
      </c>
      <c r="K162" s="113" t="s">
        <v>188</v>
      </c>
      <c r="L162" s="443">
        <f>H162/$J$313</f>
        <v>0.005934410542972551</v>
      </c>
    </row>
    <row r="163" spans="1:12" ht="12.75">
      <c r="A163" s="64"/>
      <c r="B163" s="580" t="s">
        <v>1568</v>
      </c>
      <c r="C163" s="583"/>
      <c r="D163" s="583" t="s">
        <v>1569</v>
      </c>
      <c r="E163" s="583"/>
      <c r="F163" s="583"/>
      <c r="G163" s="583"/>
      <c r="H163" s="583"/>
      <c r="I163" s="583"/>
      <c r="J163" s="583"/>
      <c r="K163" s="125"/>
      <c r="L163" s="443"/>
    </row>
    <row r="164" spans="1:12" ht="25.5">
      <c r="A164" s="64"/>
      <c r="B164" s="681" t="s">
        <v>1726</v>
      </c>
      <c r="C164" s="349" t="s">
        <v>307</v>
      </c>
      <c r="D164" s="321" t="s">
        <v>198</v>
      </c>
      <c r="E164" s="322">
        <v>1</v>
      </c>
      <c r="F164" s="319" t="s">
        <v>5</v>
      </c>
      <c r="G164" s="336">
        <f>'Composições Unitárias'!G1226</f>
        <v>666.26626888</v>
      </c>
      <c r="H164" s="336">
        <f>E164*G164</f>
        <v>666.26626888</v>
      </c>
      <c r="I164" s="336">
        <f>ROUND(H164*$I$12,2)</f>
        <v>179.63</v>
      </c>
      <c r="J164" s="336">
        <f>H164+I164</f>
        <v>845.89626888</v>
      </c>
      <c r="K164" s="113" t="s">
        <v>199</v>
      </c>
      <c r="L164" s="443">
        <f>H164/$J$313</f>
        <v>0.003789155272350721</v>
      </c>
    </row>
    <row r="165" spans="1:12" ht="12.75">
      <c r="A165" s="64"/>
      <c r="B165" s="580" t="s">
        <v>1570</v>
      </c>
      <c r="C165" s="583"/>
      <c r="D165" s="583" t="s">
        <v>1571</v>
      </c>
      <c r="E165" s="583"/>
      <c r="F165" s="583"/>
      <c r="G165" s="583"/>
      <c r="H165" s="583"/>
      <c r="I165" s="583"/>
      <c r="J165" s="583"/>
      <c r="K165" s="125"/>
      <c r="L165" s="443"/>
    </row>
    <row r="166" spans="1:12" ht="25.5">
      <c r="A166" s="64"/>
      <c r="B166" s="681" t="s">
        <v>1727</v>
      </c>
      <c r="C166" s="186" t="s">
        <v>389</v>
      </c>
      <c r="D166" s="300" t="s">
        <v>190</v>
      </c>
      <c r="E166" s="313">
        <v>8</v>
      </c>
      <c r="F166" s="308" t="s">
        <v>5</v>
      </c>
      <c r="G166" s="338">
        <f>'Composições Unitárias'!G1107</f>
        <v>33.353232</v>
      </c>
      <c r="H166" s="338">
        <f>E166*G166</f>
        <v>266.825856</v>
      </c>
      <c r="I166" s="338">
        <f>ROUND(H166*$I$12,2)</f>
        <v>71.94</v>
      </c>
      <c r="J166" s="336">
        <f>H166+I166</f>
        <v>338.765856</v>
      </c>
      <c r="K166" s="113" t="s">
        <v>191</v>
      </c>
      <c r="L166" s="443">
        <f>H166/$J$313</f>
        <v>0.0015174782910163979</v>
      </c>
    </row>
    <row r="167" spans="1:12" ht="25.5">
      <c r="A167" s="64"/>
      <c r="B167" s="681" t="s">
        <v>1728</v>
      </c>
      <c r="C167" s="349" t="s">
        <v>306</v>
      </c>
      <c r="D167" s="321" t="s">
        <v>197</v>
      </c>
      <c r="E167" s="322">
        <v>3</v>
      </c>
      <c r="F167" s="319" t="s">
        <v>5</v>
      </c>
      <c r="G167" s="336">
        <f>'Composições Unitárias'!G1207</f>
        <v>38.57926592</v>
      </c>
      <c r="H167" s="336">
        <f>E167*G167</f>
        <v>115.73779775999999</v>
      </c>
      <c r="I167" s="336">
        <f>ROUND(H167*$I$12,2)</f>
        <v>31.2</v>
      </c>
      <c r="J167" s="338">
        <f>H167+I167</f>
        <v>146.93779776</v>
      </c>
      <c r="K167" s="113" t="s">
        <v>142</v>
      </c>
      <c r="L167" s="443">
        <f>H167/$J$313</f>
        <v>0.0006582180534664763</v>
      </c>
    </row>
    <row r="168" spans="1:12" ht="12.75">
      <c r="A168" s="64"/>
      <c r="B168" s="580" t="s">
        <v>1572</v>
      </c>
      <c r="C168" s="583"/>
      <c r="D168" s="583" t="s">
        <v>1573</v>
      </c>
      <c r="E168" s="583"/>
      <c r="F168" s="583"/>
      <c r="G168" s="583"/>
      <c r="H168" s="583"/>
      <c r="I168" s="583"/>
      <c r="J168" s="583"/>
      <c r="K168" s="125"/>
      <c r="L168" s="443"/>
    </row>
    <row r="169" spans="1:12" ht="12.75">
      <c r="A169" s="64"/>
      <c r="B169" s="369" t="s">
        <v>1729</v>
      </c>
      <c r="C169" s="349" t="s">
        <v>325</v>
      </c>
      <c r="D169" s="357" t="s">
        <v>234</v>
      </c>
      <c r="E169" s="322">
        <v>1</v>
      </c>
      <c r="F169" s="319" t="s">
        <v>5</v>
      </c>
      <c r="G169" s="336">
        <f>'Composições Unitárias'!G1887</f>
        <v>90.817860012</v>
      </c>
      <c r="H169" s="336">
        <f>E169*G169</f>
        <v>90.817860012</v>
      </c>
      <c r="I169" s="336">
        <f>H169*$I$12</f>
        <v>24.4844950592352</v>
      </c>
      <c r="J169" s="336">
        <f>H169+I169</f>
        <v>115.3023550712352</v>
      </c>
      <c r="K169" s="125" t="s">
        <v>206</v>
      </c>
      <c r="L169" s="443">
        <f>H169/$J$313</f>
        <v>0.0005164946646129236</v>
      </c>
    </row>
    <row r="170" spans="1:12" ht="12.75">
      <c r="A170" s="64"/>
      <c r="B170" s="369" t="s">
        <v>1730</v>
      </c>
      <c r="C170" s="349" t="s">
        <v>326</v>
      </c>
      <c r="D170" s="357" t="s">
        <v>235</v>
      </c>
      <c r="E170" s="322">
        <v>1</v>
      </c>
      <c r="F170" s="319" t="s">
        <v>5</v>
      </c>
      <c r="G170" s="336">
        <f>'Composições Unitárias'!G1925</f>
        <v>142.425954224</v>
      </c>
      <c r="H170" s="336">
        <f>E170*G170</f>
        <v>142.425954224</v>
      </c>
      <c r="I170" s="336">
        <f>H170*$I$12</f>
        <v>38.3980372587904</v>
      </c>
      <c r="J170" s="336">
        <f>H170+I170</f>
        <v>180.8239914827904</v>
      </c>
      <c r="K170" s="125" t="s">
        <v>206</v>
      </c>
      <c r="L170" s="443">
        <f>H170/$J$313</f>
        <v>0.0008099975648994649</v>
      </c>
    </row>
    <row r="171" spans="1:12" ht="12.75">
      <c r="A171" s="64"/>
      <c r="B171" s="369" t="s">
        <v>1731</v>
      </c>
      <c r="C171" s="133" t="s">
        <v>327</v>
      </c>
      <c r="D171" s="306" t="s">
        <v>236</v>
      </c>
      <c r="E171" s="313">
        <v>1</v>
      </c>
      <c r="F171" s="308" t="s">
        <v>5</v>
      </c>
      <c r="G171" s="338">
        <f>'Composições Unitárias'!G1944</f>
        <v>96.23492895199999</v>
      </c>
      <c r="H171" s="338">
        <f>E171*G171</f>
        <v>96.23492895199999</v>
      </c>
      <c r="I171" s="336">
        <f>H171*$I$12</f>
        <v>25.944936845459196</v>
      </c>
      <c r="J171" s="338">
        <f>H171+I171</f>
        <v>122.17986579745919</v>
      </c>
      <c r="K171" s="125" t="s">
        <v>206</v>
      </c>
      <c r="L171" s="443">
        <f>H171/$J$313</f>
        <v>0.0005473023406028741</v>
      </c>
    </row>
    <row r="172" spans="1:12" ht="12.75">
      <c r="A172" s="64"/>
      <c r="B172" s="369" t="s">
        <v>1732</v>
      </c>
      <c r="C172" s="349" t="s">
        <v>328</v>
      </c>
      <c r="D172" s="357" t="s">
        <v>237</v>
      </c>
      <c r="E172" s="322">
        <v>1</v>
      </c>
      <c r="F172" s="319" t="s">
        <v>5</v>
      </c>
      <c r="G172" s="336">
        <f>'Composições Unitárias'!G1960</f>
        <v>78.15441631600001</v>
      </c>
      <c r="H172" s="336">
        <f>E172*G172</f>
        <v>78.15441631600001</v>
      </c>
      <c r="I172" s="336">
        <f>H172*$I$12</f>
        <v>21.070430638793603</v>
      </c>
      <c r="J172" s="336">
        <f>H172+I172</f>
        <v>99.2248469547936</v>
      </c>
      <c r="K172" s="125" t="s">
        <v>206</v>
      </c>
      <c r="L172" s="443">
        <f>H172/$J$313</f>
        <v>0.00044447577863888796</v>
      </c>
    </row>
    <row r="173" spans="1:12" ht="12.75">
      <c r="A173" s="64"/>
      <c r="B173" s="369" t="s">
        <v>1733</v>
      </c>
      <c r="C173" s="133" t="s">
        <v>329</v>
      </c>
      <c r="D173" s="306" t="s">
        <v>238</v>
      </c>
      <c r="E173" s="313">
        <v>2</v>
      </c>
      <c r="F173" s="308" t="s">
        <v>5</v>
      </c>
      <c r="G173" s="338">
        <f>'Composições Unitárias'!G1976</f>
        <v>45.0092</v>
      </c>
      <c r="H173" s="338">
        <f>E173*G173</f>
        <v>90.0184</v>
      </c>
      <c r="I173" s="336">
        <f>H173*$I$12</f>
        <v>24.26896064</v>
      </c>
      <c r="J173" s="338">
        <f>H173+I173</f>
        <v>114.28736064</v>
      </c>
      <c r="K173" s="125" t="s">
        <v>206</v>
      </c>
      <c r="L173" s="443">
        <f>H173/$J$313</f>
        <v>0.0005119480167320461</v>
      </c>
    </row>
    <row r="174" spans="1:12" ht="12.75">
      <c r="A174" s="64"/>
      <c r="B174" s="580" t="s">
        <v>1576</v>
      </c>
      <c r="C174" s="583"/>
      <c r="D174" s="583" t="s">
        <v>1577</v>
      </c>
      <c r="E174" s="583"/>
      <c r="F174" s="583"/>
      <c r="G174" s="583"/>
      <c r="H174" s="583"/>
      <c r="I174" s="583"/>
      <c r="J174" s="583"/>
      <c r="K174" s="572"/>
      <c r="L174" s="443"/>
    </row>
    <row r="175" spans="1:12" ht="12.75">
      <c r="A175" s="64"/>
      <c r="B175" s="369" t="s">
        <v>1734</v>
      </c>
      <c r="C175" s="133" t="s">
        <v>308</v>
      </c>
      <c r="D175" s="300" t="s">
        <v>200</v>
      </c>
      <c r="E175" s="313">
        <v>8</v>
      </c>
      <c r="F175" s="308" t="s">
        <v>5</v>
      </c>
      <c r="G175" s="338">
        <f>'Composições Unitárias'!G1244</f>
        <v>30.634265</v>
      </c>
      <c r="H175" s="338">
        <f>E175*G175</f>
        <v>245.07412</v>
      </c>
      <c r="I175" s="338">
        <f>ROUND(H175*$I$12,2)</f>
        <v>66.07</v>
      </c>
      <c r="J175" s="336">
        <f>H175+I175</f>
        <v>311.14412</v>
      </c>
      <c r="K175" s="113" t="s">
        <v>191</v>
      </c>
      <c r="L175" s="443">
        <f>H175/$J$313</f>
        <v>0.0013937729362702678</v>
      </c>
    </row>
    <row r="176" spans="1:12" ht="12.75">
      <c r="A176" s="64"/>
      <c r="B176" s="369" t="s">
        <v>1735</v>
      </c>
      <c r="C176" s="349" t="s">
        <v>309</v>
      </c>
      <c r="D176" s="321" t="s">
        <v>201</v>
      </c>
      <c r="E176" s="322">
        <v>6</v>
      </c>
      <c r="F176" s="319" t="s">
        <v>5</v>
      </c>
      <c r="G176" s="336">
        <f>'Composições Unitárias'!G1260</f>
        <v>119.792852</v>
      </c>
      <c r="H176" s="336">
        <f>E176*G176</f>
        <v>718.757112</v>
      </c>
      <c r="I176" s="336">
        <f>ROUND(H176*$I$12,2)</f>
        <v>193.78</v>
      </c>
      <c r="J176" s="338">
        <f>H176+I176</f>
        <v>912.537112</v>
      </c>
      <c r="K176" s="113" t="s">
        <v>182</v>
      </c>
      <c r="L176" s="443">
        <f>H176/$J$313</f>
        <v>0.00408767849684568</v>
      </c>
    </row>
    <row r="177" spans="1:10" ht="12.75">
      <c r="A177" s="64"/>
      <c r="B177" s="580" t="s">
        <v>1574</v>
      </c>
      <c r="C177" s="583"/>
      <c r="D177" s="583" t="s">
        <v>1575</v>
      </c>
      <c r="E177" s="583"/>
      <c r="F177" s="583"/>
      <c r="G177" s="583"/>
      <c r="H177" s="583"/>
      <c r="I177" s="583"/>
      <c r="J177" s="583"/>
    </row>
    <row r="178" spans="1:12" ht="25.5">
      <c r="A178" s="64"/>
      <c r="B178" s="369" t="s">
        <v>1736</v>
      </c>
      <c r="C178" s="378" t="s">
        <v>388</v>
      </c>
      <c r="D178" s="321" t="s">
        <v>187</v>
      </c>
      <c r="E178" s="322">
        <v>2</v>
      </c>
      <c r="F178" s="319" t="s">
        <v>5</v>
      </c>
      <c r="G178" s="336">
        <f>'Composições Unitárias'!G1069</f>
        <v>193.33233040000002</v>
      </c>
      <c r="H178" s="336">
        <f>E178*G178</f>
        <v>386.66466080000004</v>
      </c>
      <c r="I178" s="336">
        <f>ROUND(H178*$I$12,2)</f>
        <v>104.24</v>
      </c>
      <c r="J178" s="336">
        <f>H178+I178</f>
        <v>490.90466080000004</v>
      </c>
      <c r="K178" s="113" t="s">
        <v>188</v>
      </c>
      <c r="L178" s="443">
        <f>H178/$J$313</f>
        <v>0.0021990193808924547</v>
      </c>
    </row>
    <row r="179" spans="1:12" ht="25.5">
      <c r="A179" s="64"/>
      <c r="B179" s="369" t="s">
        <v>1737</v>
      </c>
      <c r="C179" s="133" t="s">
        <v>301</v>
      </c>
      <c r="D179" s="300" t="s">
        <v>186</v>
      </c>
      <c r="E179" s="313">
        <v>8</v>
      </c>
      <c r="F179" s="308" t="s">
        <v>5</v>
      </c>
      <c r="G179" s="338">
        <f>'Composições Unitárias'!G1054</f>
        <v>243.1084664</v>
      </c>
      <c r="H179" s="338">
        <f>E179*G179</f>
        <v>1944.8677312</v>
      </c>
      <c r="I179" s="338">
        <f>ROUND(H179*$I$12,2)</f>
        <v>524.34</v>
      </c>
      <c r="J179" s="336">
        <f>H179+I179</f>
        <v>2469.2077312</v>
      </c>
      <c r="K179" s="113" t="s">
        <v>129</v>
      </c>
      <c r="L179" s="443">
        <f>H179/$J$313</f>
        <v>0.011060751777347676</v>
      </c>
    </row>
    <row r="180" spans="1:10" ht="12.75">
      <c r="A180" s="64"/>
      <c r="B180" s="580" t="s">
        <v>1578</v>
      </c>
      <c r="C180" s="583"/>
      <c r="D180" s="583" t="s">
        <v>1579</v>
      </c>
      <c r="E180" s="583"/>
      <c r="F180" s="583"/>
      <c r="G180" s="583"/>
      <c r="H180" s="583"/>
      <c r="I180" s="583"/>
      <c r="J180" s="583"/>
    </row>
    <row r="181" spans="1:12" ht="25.5">
      <c r="A181" s="64"/>
      <c r="B181" s="369" t="s">
        <v>1741</v>
      </c>
      <c r="C181" s="349" t="s">
        <v>1395</v>
      </c>
      <c r="D181" s="321" t="s">
        <v>1381</v>
      </c>
      <c r="E181" s="322">
        <v>8</v>
      </c>
      <c r="F181" s="319" t="s">
        <v>5</v>
      </c>
      <c r="G181" s="336">
        <f>'Composições Unitárias'!G1277</f>
        <v>34.644046626666665</v>
      </c>
      <c r="H181" s="336">
        <f>E181*G181</f>
        <v>277.1523730133333</v>
      </c>
      <c r="I181" s="336">
        <f>ROUND(H181*$I$12,2)</f>
        <v>74.72</v>
      </c>
      <c r="J181" s="336">
        <f>H181+I181</f>
        <v>351.87237301333334</v>
      </c>
      <c r="K181" s="113" t="s">
        <v>191</v>
      </c>
      <c r="L181" s="443">
        <f>H181/$J$313</f>
        <v>0.0015762067276996286</v>
      </c>
    </row>
    <row r="182" spans="1:12" ht="13.5" thickBot="1">
      <c r="A182" s="64"/>
      <c r="B182" s="580" t="s">
        <v>1738</v>
      </c>
      <c r="C182" s="583"/>
      <c r="D182" s="583" t="s">
        <v>1739</v>
      </c>
      <c r="E182" s="583"/>
      <c r="F182" s="583"/>
      <c r="G182" s="583"/>
      <c r="H182" s="583"/>
      <c r="I182" s="583"/>
      <c r="J182" s="583"/>
      <c r="K182" s="300"/>
      <c r="L182" s="443"/>
    </row>
    <row r="183" spans="1:12" ht="12.75">
      <c r="A183" s="64"/>
      <c r="B183" s="369" t="s">
        <v>1740</v>
      </c>
      <c r="C183" s="682" t="s">
        <v>303</v>
      </c>
      <c r="D183" s="649" t="s">
        <v>192</v>
      </c>
      <c r="E183" s="650">
        <v>4.4</v>
      </c>
      <c r="F183" s="683" t="s">
        <v>25</v>
      </c>
      <c r="G183" s="651">
        <f>'Composições Unitárias'!G1127</f>
        <v>362.902596</v>
      </c>
      <c r="H183" s="651">
        <f aca="true" t="shared" si="8" ref="H183:H191">E183*G183</f>
        <v>1596.7714224000001</v>
      </c>
      <c r="I183" s="651">
        <f aca="true" t="shared" si="9" ref="I183:I191">ROUND(H183*$I$12,2)</f>
        <v>430.49</v>
      </c>
      <c r="J183" s="684">
        <f>H183+I183</f>
        <v>2027.2614224000001</v>
      </c>
      <c r="K183" s="300"/>
      <c r="L183" s="443"/>
    </row>
    <row r="184" spans="1:12" ht="12.75">
      <c r="A184" s="64"/>
      <c r="B184" s="369" t="s">
        <v>1742</v>
      </c>
      <c r="C184" s="186" t="s">
        <v>390</v>
      </c>
      <c r="D184" s="300" t="s">
        <v>193</v>
      </c>
      <c r="E184" s="313">
        <v>8</v>
      </c>
      <c r="F184" s="308" t="s">
        <v>5</v>
      </c>
      <c r="G184" s="338">
        <f>'Composições Unitárias'!G1142</f>
        <v>53.230444000000006</v>
      </c>
      <c r="H184" s="338">
        <f t="shared" si="8"/>
        <v>425.84355200000005</v>
      </c>
      <c r="I184" s="338">
        <f t="shared" si="9"/>
        <v>114.81</v>
      </c>
      <c r="J184" s="336">
        <f>H184+I184</f>
        <v>540.653552</v>
      </c>
      <c r="K184" s="300"/>
      <c r="L184" s="443"/>
    </row>
    <row r="185" spans="1:12" ht="12.75">
      <c r="A185" s="64"/>
      <c r="B185" s="369" t="s">
        <v>1743</v>
      </c>
      <c r="C185" s="349" t="s">
        <v>304</v>
      </c>
      <c r="D185" s="321" t="s">
        <v>194</v>
      </c>
      <c r="E185" s="322">
        <v>4</v>
      </c>
      <c r="F185" s="319" t="s">
        <v>5</v>
      </c>
      <c r="G185" s="336">
        <f>'Composições Unitárias'!G1157</f>
        <v>48.053383999999994</v>
      </c>
      <c r="H185" s="336">
        <f t="shared" si="8"/>
        <v>192.21353599999998</v>
      </c>
      <c r="I185" s="336">
        <f t="shared" si="9"/>
        <v>51.82</v>
      </c>
      <c r="J185" s="338">
        <f>H185+I185</f>
        <v>244.03353599999997</v>
      </c>
      <c r="K185" s="300"/>
      <c r="L185" s="443"/>
    </row>
    <row r="186" spans="1:12" ht="25.5">
      <c r="A186" s="64"/>
      <c r="B186" s="369" t="s">
        <v>1744</v>
      </c>
      <c r="C186" s="349" t="s">
        <v>305</v>
      </c>
      <c r="D186" s="321" t="s">
        <v>195</v>
      </c>
      <c r="E186" s="322">
        <v>6</v>
      </c>
      <c r="F186" s="319" t="s">
        <v>5</v>
      </c>
      <c r="G186" s="336">
        <f>'Composições Unitárias'!G1171</f>
        <v>50.146768</v>
      </c>
      <c r="H186" s="336">
        <f t="shared" si="8"/>
        <v>300.880608</v>
      </c>
      <c r="I186" s="336">
        <f t="shared" si="9"/>
        <v>81.12</v>
      </c>
      <c r="J186" s="336">
        <f>H186+I186</f>
        <v>382.000608</v>
      </c>
      <c r="K186" s="300"/>
      <c r="L186" s="443"/>
    </row>
    <row r="187" spans="1:12" ht="25.5">
      <c r="A187" s="64"/>
      <c r="B187" s="369" t="s">
        <v>1745</v>
      </c>
      <c r="C187" s="378" t="s">
        <v>391</v>
      </c>
      <c r="D187" s="321" t="s">
        <v>196</v>
      </c>
      <c r="E187" s="322">
        <v>2.5300000000000007</v>
      </c>
      <c r="F187" s="319" t="s">
        <v>25</v>
      </c>
      <c r="G187" s="336">
        <f>'Composições Unitárias'!G1189</f>
        <v>147.7613262</v>
      </c>
      <c r="H187" s="336">
        <f t="shared" si="8"/>
        <v>373.8361552860001</v>
      </c>
      <c r="I187" s="336">
        <f t="shared" si="9"/>
        <v>100.79</v>
      </c>
      <c r="J187" s="336">
        <f>H187+I187</f>
        <v>474.62615528600014</v>
      </c>
      <c r="K187" s="300"/>
      <c r="L187" s="443"/>
    </row>
    <row r="188" spans="1:12" ht="25.5">
      <c r="A188" s="64"/>
      <c r="B188" s="369" t="s">
        <v>1746</v>
      </c>
      <c r="C188" s="323" t="s">
        <v>1297</v>
      </c>
      <c r="D188" s="524" t="s">
        <v>149</v>
      </c>
      <c r="E188" s="387">
        <v>4</v>
      </c>
      <c r="F188" s="525" t="s">
        <v>5</v>
      </c>
      <c r="G188" s="337">
        <f>'Composições Unitárias'!G554</f>
        <v>327.867448</v>
      </c>
      <c r="H188" s="337">
        <f t="shared" si="8"/>
        <v>1311.469792</v>
      </c>
      <c r="I188" s="337">
        <f t="shared" si="9"/>
        <v>353.57</v>
      </c>
      <c r="J188" s="337">
        <f>ROUND(SUM(H188:I188),2)</f>
        <v>1665.04</v>
      </c>
      <c r="K188" s="559" t="s">
        <v>150</v>
      </c>
      <c r="L188" s="634">
        <f>H188/$J$313</f>
        <v>0.007458523579828002</v>
      </c>
    </row>
    <row r="189" spans="1:12" ht="25.5">
      <c r="A189" s="64"/>
      <c r="B189" s="369" t="s">
        <v>1747</v>
      </c>
      <c r="C189" s="303" t="s">
        <v>1296</v>
      </c>
      <c r="D189" s="300" t="s">
        <v>151</v>
      </c>
      <c r="E189" s="313">
        <v>2</v>
      </c>
      <c r="F189" s="358" t="s">
        <v>5</v>
      </c>
      <c r="G189" s="338">
        <f>'Composições Unitárias'!G570</f>
        <v>141.19297940799999</v>
      </c>
      <c r="H189" s="338">
        <f t="shared" si="8"/>
        <v>282.38595881599997</v>
      </c>
      <c r="I189" s="338">
        <f t="shared" si="9"/>
        <v>76.13</v>
      </c>
      <c r="J189" s="338">
        <f>ROUND(SUM(H189:I189),2)</f>
        <v>358.52</v>
      </c>
      <c r="K189" s="559" t="s">
        <v>150</v>
      </c>
      <c r="L189" s="634">
        <f>H189/$J$313</f>
        <v>0.0016059709078236053</v>
      </c>
    </row>
    <row r="190" spans="1:12" ht="25.5">
      <c r="A190" s="64"/>
      <c r="B190" s="369" t="s">
        <v>1748</v>
      </c>
      <c r="C190" s="335" t="s">
        <v>379</v>
      </c>
      <c r="D190" s="321" t="s">
        <v>152</v>
      </c>
      <c r="E190" s="322">
        <v>4</v>
      </c>
      <c r="F190" s="355" t="s">
        <v>5</v>
      </c>
      <c r="G190" s="336">
        <f>'Composições Unitárias'!G587</f>
        <v>361.988398</v>
      </c>
      <c r="H190" s="336">
        <f t="shared" si="8"/>
        <v>1447.953592</v>
      </c>
      <c r="I190" s="336">
        <f t="shared" si="9"/>
        <v>390.37</v>
      </c>
      <c r="J190" s="336">
        <f>ROUND(SUM(H190:I190),2)</f>
        <v>1838.32</v>
      </c>
      <c r="K190" s="559" t="s">
        <v>153</v>
      </c>
      <c r="L190" s="634">
        <f>H190/$J$313</f>
        <v>0.008234727230704415</v>
      </c>
    </row>
    <row r="191" spans="1:12" ht="12.75">
      <c r="A191" s="64"/>
      <c r="B191" s="369" t="s">
        <v>1749</v>
      </c>
      <c r="C191" s="335" t="s">
        <v>1115</v>
      </c>
      <c r="D191" s="321" t="s">
        <v>154</v>
      </c>
      <c r="E191" s="322">
        <v>3</v>
      </c>
      <c r="F191" s="355" t="s">
        <v>5</v>
      </c>
      <c r="G191" s="336">
        <f>'Composições Unitárias'!G604</f>
        <v>156.500964</v>
      </c>
      <c r="H191" s="336">
        <f t="shared" si="8"/>
        <v>469.50289200000003</v>
      </c>
      <c r="I191" s="336">
        <f t="shared" si="9"/>
        <v>126.58</v>
      </c>
      <c r="J191" s="653">
        <f>ROUND(SUM(H191:I191),2)</f>
        <v>596.08</v>
      </c>
      <c r="K191" s="559" t="s">
        <v>155</v>
      </c>
      <c r="L191" s="634">
        <f>H191/$J$313</f>
        <v>0.0026701327107498027</v>
      </c>
    </row>
    <row r="192" spans="1:12" ht="12.75">
      <c r="A192" s="64"/>
      <c r="B192" s="571" t="s">
        <v>1543</v>
      </c>
      <c r="C192" s="571"/>
      <c r="D192" s="622" t="s">
        <v>1544</v>
      </c>
      <c r="E192" s="571"/>
      <c r="F192" s="571"/>
      <c r="G192" s="571"/>
      <c r="H192" s="571"/>
      <c r="I192" s="571"/>
      <c r="J192" s="571"/>
      <c r="K192" s="125"/>
      <c r="L192" s="443"/>
    </row>
    <row r="193" spans="1:12" ht="12.75">
      <c r="A193" s="64"/>
      <c r="B193" s="569" t="s">
        <v>1546</v>
      </c>
      <c r="C193" s="569"/>
      <c r="D193" s="575" t="s">
        <v>1545</v>
      </c>
      <c r="E193" s="569"/>
      <c r="F193" s="569"/>
      <c r="G193" s="569"/>
      <c r="H193" s="569"/>
      <c r="I193" s="569"/>
      <c r="J193" s="569"/>
      <c r="K193" s="125"/>
      <c r="L193" s="443"/>
    </row>
    <row r="194" spans="1:12" ht="12.75">
      <c r="A194" s="64"/>
      <c r="B194" s="580" t="s">
        <v>1547</v>
      </c>
      <c r="C194" s="583"/>
      <c r="D194" s="583" t="s">
        <v>1521</v>
      </c>
      <c r="E194" s="583"/>
      <c r="F194" s="583"/>
      <c r="G194" s="583"/>
      <c r="H194" s="583"/>
      <c r="I194" s="583"/>
      <c r="J194" s="583"/>
      <c r="K194" s="125"/>
      <c r="L194" s="443"/>
    </row>
    <row r="195" spans="1:12" ht="12.75">
      <c r="A195" s="64"/>
      <c r="B195" s="369" t="s">
        <v>1750</v>
      </c>
      <c r="C195" s="133" t="s">
        <v>342</v>
      </c>
      <c r="D195" s="306" t="s">
        <v>252</v>
      </c>
      <c r="E195" s="313">
        <v>18.5</v>
      </c>
      <c r="F195" s="308" t="s">
        <v>4</v>
      </c>
      <c r="G195" s="338">
        <f>'Composições Unitárias'!G2337</f>
        <v>19.138924</v>
      </c>
      <c r="H195" s="338">
        <f>E195*G195</f>
        <v>354.070094</v>
      </c>
      <c r="I195" s="336">
        <f>H195*$I$12</f>
        <v>95.4572973424</v>
      </c>
      <c r="J195" s="338">
        <f>H195+I195</f>
        <v>449.5273913424</v>
      </c>
      <c r="K195" s="125" t="s">
        <v>206</v>
      </c>
      <c r="L195" s="443">
        <f>H195/$J$313</f>
        <v>0.002013649236238693</v>
      </c>
    </row>
    <row r="196" spans="1:12" ht="12.75">
      <c r="A196" s="64"/>
      <c r="B196" s="369" t="s">
        <v>1751</v>
      </c>
      <c r="C196" s="349" t="s">
        <v>343</v>
      </c>
      <c r="D196" s="357" t="s">
        <v>253</v>
      </c>
      <c r="E196" s="322">
        <v>15.8</v>
      </c>
      <c r="F196" s="319" t="s">
        <v>4</v>
      </c>
      <c r="G196" s="336">
        <f>'Composições Unitárias'!G2355</f>
        <v>26.853023999999998</v>
      </c>
      <c r="H196" s="336">
        <f>E196*G196</f>
        <v>424.2777792</v>
      </c>
      <c r="I196" s="336">
        <f>H196*$I$12</f>
        <v>114.38528927232001</v>
      </c>
      <c r="J196" s="336">
        <f>H196+I196</f>
        <v>538.66306847232</v>
      </c>
      <c r="K196" s="125" t="s">
        <v>206</v>
      </c>
      <c r="L196" s="443">
        <f>H196/$J$313</f>
        <v>0.002412930774207462</v>
      </c>
    </row>
    <row r="197" spans="1:12" ht="12.75">
      <c r="A197" s="64"/>
      <c r="B197" s="369" t="s">
        <v>1752</v>
      </c>
      <c r="C197" s="133" t="s">
        <v>344</v>
      </c>
      <c r="D197" s="306" t="s">
        <v>254</v>
      </c>
      <c r="E197" s="313">
        <v>53.7</v>
      </c>
      <c r="F197" s="308" t="s">
        <v>4</v>
      </c>
      <c r="G197" s="338">
        <f>'Composições Unitárias'!G2372</f>
        <v>39.726072</v>
      </c>
      <c r="H197" s="338">
        <f>E197*G197</f>
        <v>2133.2900664000003</v>
      </c>
      <c r="I197" s="336">
        <f>H197*$I$12</f>
        <v>575.1350019014401</v>
      </c>
      <c r="J197" s="338">
        <f>H197+I197</f>
        <v>2708.4250683014407</v>
      </c>
      <c r="K197" s="125" t="s">
        <v>206</v>
      </c>
      <c r="L197" s="443">
        <f>H197/$J$313</f>
        <v>0.012132337595509975</v>
      </c>
    </row>
    <row r="198" spans="1:12" ht="12.75">
      <c r="A198" s="64"/>
      <c r="B198" s="369" t="s">
        <v>1753</v>
      </c>
      <c r="C198" s="349" t="s">
        <v>345</v>
      </c>
      <c r="D198" s="357" t="s">
        <v>255</v>
      </c>
      <c r="E198" s="322">
        <v>33</v>
      </c>
      <c r="F198" s="319" t="s">
        <v>4</v>
      </c>
      <c r="G198" s="336">
        <f>'Composições Unitárias'!G2390</f>
        <v>51.480136</v>
      </c>
      <c r="H198" s="336">
        <f>E198*G198</f>
        <v>1698.844488</v>
      </c>
      <c r="I198" s="336">
        <f>H198*$I$12</f>
        <v>458.0084739648</v>
      </c>
      <c r="J198" s="336">
        <f>H198+I198</f>
        <v>2156.8529619647998</v>
      </c>
      <c r="K198" s="125" t="s">
        <v>206</v>
      </c>
      <c r="L198" s="443">
        <f>H198/$J$313</f>
        <v>0.00966158103640776</v>
      </c>
    </row>
    <row r="199" spans="1:12" ht="25.5">
      <c r="A199" s="64"/>
      <c r="B199" s="369" t="s">
        <v>1754</v>
      </c>
      <c r="C199" s="349" t="s">
        <v>324</v>
      </c>
      <c r="D199" s="332" t="s">
        <v>232</v>
      </c>
      <c r="E199" s="322">
        <v>30</v>
      </c>
      <c r="F199" s="319" t="s">
        <v>4</v>
      </c>
      <c r="G199" s="336">
        <f>'Composições Unitárias'!G1833</f>
        <v>47.32117824</v>
      </c>
      <c r="H199" s="336">
        <f>E199*G199</f>
        <v>1419.6353472</v>
      </c>
      <c r="I199" s="336">
        <f>ROUND(H199*$I$12,2)</f>
        <v>382.73</v>
      </c>
      <c r="J199" s="336">
        <f>ROUND(SUM(H199:I199),2)</f>
        <v>1802.37</v>
      </c>
      <c r="K199" s="125"/>
      <c r="L199" s="443"/>
    </row>
    <row r="200" spans="1:12" ht="12.75">
      <c r="A200" s="64"/>
      <c r="B200" s="580" t="s">
        <v>1548</v>
      </c>
      <c r="C200" s="583"/>
      <c r="D200" s="583" t="s">
        <v>1530</v>
      </c>
      <c r="E200" s="583"/>
      <c r="F200" s="583"/>
      <c r="G200" s="583"/>
      <c r="H200" s="583"/>
      <c r="I200" s="583"/>
      <c r="J200" s="583"/>
      <c r="K200" s="125"/>
      <c r="L200" s="443"/>
    </row>
    <row r="201" spans="1:12" ht="12.75">
      <c r="A201" s="64"/>
      <c r="B201" s="369" t="s">
        <v>1755</v>
      </c>
      <c r="C201" s="133" t="s">
        <v>347</v>
      </c>
      <c r="D201" s="306" t="s">
        <v>1535</v>
      </c>
      <c r="E201" s="313">
        <v>9</v>
      </c>
      <c r="F201" s="308" t="s">
        <v>5</v>
      </c>
      <c r="G201" s="338">
        <f>'Composições Unitárias'!G2451</f>
        <v>7.884479999999998</v>
      </c>
      <c r="H201" s="338">
        <f aca="true" t="shared" si="10" ref="H201:H209">E201*G201</f>
        <v>70.96031999999998</v>
      </c>
      <c r="I201" s="336">
        <f aca="true" t="shared" si="11" ref="I201:I208">H201*$I$12</f>
        <v>19.130902271999997</v>
      </c>
      <c r="J201" s="338">
        <f aca="true" t="shared" si="12" ref="J201:J208">H201+I201</f>
        <v>90.09122227199998</v>
      </c>
      <c r="K201" s="128" t="s">
        <v>206</v>
      </c>
      <c r="L201" s="604">
        <f aca="true" t="shared" si="13" ref="L201:L209">H201/$J$313</f>
        <v>0.000403561883911193</v>
      </c>
    </row>
    <row r="202" spans="1:12" ht="12.75">
      <c r="A202" s="64"/>
      <c r="B202" s="369" t="s">
        <v>1756</v>
      </c>
      <c r="C202" s="349" t="s">
        <v>348</v>
      </c>
      <c r="D202" s="357" t="s">
        <v>1536</v>
      </c>
      <c r="E202" s="322">
        <v>22</v>
      </c>
      <c r="F202" s="319" t="s">
        <v>5</v>
      </c>
      <c r="G202" s="336">
        <f>'Composições Unitárias'!G2468</f>
        <v>10.109823999999998</v>
      </c>
      <c r="H202" s="336">
        <f t="shared" si="10"/>
        <v>222.41612799999996</v>
      </c>
      <c r="I202" s="336">
        <f t="shared" si="11"/>
        <v>59.96338810879999</v>
      </c>
      <c r="J202" s="336">
        <f t="shared" si="12"/>
        <v>282.3795161088</v>
      </c>
      <c r="K202" s="128" t="s">
        <v>206</v>
      </c>
      <c r="L202" s="604">
        <f t="shared" si="13"/>
        <v>0.0012649135689905718</v>
      </c>
    </row>
    <row r="203" spans="1:12" ht="12.75">
      <c r="A203" s="64"/>
      <c r="B203" s="369" t="s">
        <v>1757</v>
      </c>
      <c r="C203" s="133" t="s">
        <v>349</v>
      </c>
      <c r="D203" s="306" t="s">
        <v>1537</v>
      </c>
      <c r="E203" s="313">
        <v>8</v>
      </c>
      <c r="F203" s="308" t="s">
        <v>5</v>
      </c>
      <c r="G203" s="338">
        <f>'Composições Unitárias'!G2485</f>
        <v>20.821199999999997</v>
      </c>
      <c r="H203" s="338">
        <f t="shared" si="10"/>
        <v>166.56959999999998</v>
      </c>
      <c r="I203" s="336">
        <f t="shared" si="11"/>
        <v>44.907164159999994</v>
      </c>
      <c r="J203" s="338">
        <f t="shared" si="12"/>
        <v>211.47676415999996</v>
      </c>
      <c r="K203" s="128" t="s">
        <v>206</v>
      </c>
      <c r="L203" s="604">
        <f t="shared" si="13"/>
        <v>0.0009473060659581843</v>
      </c>
    </row>
    <row r="204" spans="1:12" ht="12.75">
      <c r="A204" s="64"/>
      <c r="B204" s="369" t="s">
        <v>1758</v>
      </c>
      <c r="C204" s="349" t="s">
        <v>350</v>
      </c>
      <c r="D204" s="357" t="s">
        <v>1538</v>
      </c>
      <c r="E204" s="322">
        <v>12</v>
      </c>
      <c r="F204" s="319" t="s">
        <v>5</v>
      </c>
      <c r="G204" s="336">
        <f>'Composições Unitárias'!G2503</f>
        <v>7.214479999999998</v>
      </c>
      <c r="H204" s="336">
        <f t="shared" si="10"/>
        <v>86.57375999999998</v>
      </c>
      <c r="I204" s="336">
        <f t="shared" si="11"/>
        <v>23.340285695999995</v>
      </c>
      <c r="J204" s="336">
        <f t="shared" si="12"/>
        <v>109.91404569599997</v>
      </c>
      <c r="K204" s="128" t="s">
        <v>206</v>
      </c>
      <c r="L204" s="604">
        <f t="shared" si="13"/>
        <v>0.0004923578372092387</v>
      </c>
    </row>
    <row r="205" spans="1:12" ht="12.75">
      <c r="A205" s="64"/>
      <c r="B205" s="369" t="s">
        <v>1759</v>
      </c>
      <c r="C205" s="133" t="s">
        <v>351</v>
      </c>
      <c r="D205" s="306" t="s">
        <v>1539</v>
      </c>
      <c r="E205" s="313">
        <v>13</v>
      </c>
      <c r="F205" s="308" t="s">
        <v>5</v>
      </c>
      <c r="G205" s="338">
        <f>'Composições Unitárias'!G2520</f>
        <v>9.629824</v>
      </c>
      <c r="H205" s="338">
        <f t="shared" si="10"/>
        <v>125.18771199999999</v>
      </c>
      <c r="I205" s="336">
        <f t="shared" si="11"/>
        <v>33.7506071552</v>
      </c>
      <c r="J205" s="338">
        <f t="shared" si="12"/>
        <v>158.9383191552</v>
      </c>
      <c r="K205" s="128" t="s">
        <v>206</v>
      </c>
      <c r="L205" s="604">
        <f t="shared" si="13"/>
        <v>0.0007119611199223999</v>
      </c>
    </row>
    <row r="206" spans="1:12" ht="12.75">
      <c r="A206" s="64"/>
      <c r="B206" s="369" t="s">
        <v>1760</v>
      </c>
      <c r="C206" s="349" t="s">
        <v>352</v>
      </c>
      <c r="D206" s="357" t="s">
        <v>1540</v>
      </c>
      <c r="E206" s="322">
        <v>7</v>
      </c>
      <c r="F206" s="319" t="s">
        <v>5</v>
      </c>
      <c r="G206" s="336">
        <f>'Composições Unitárias'!G2537</f>
        <v>15.770511999999998</v>
      </c>
      <c r="H206" s="336">
        <f t="shared" si="10"/>
        <v>110.39358399999999</v>
      </c>
      <c r="I206" s="336">
        <f t="shared" si="11"/>
        <v>29.7621102464</v>
      </c>
      <c r="J206" s="336">
        <f t="shared" si="12"/>
        <v>140.1556942464</v>
      </c>
      <c r="K206" s="128" t="s">
        <v>206</v>
      </c>
      <c r="L206" s="604">
        <f t="shared" si="13"/>
        <v>0.0006278247157108162</v>
      </c>
    </row>
    <row r="207" spans="1:12" ht="12.75">
      <c r="A207" s="64"/>
      <c r="B207" s="369" t="s">
        <v>1761</v>
      </c>
      <c r="C207" s="133" t="s">
        <v>350</v>
      </c>
      <c r="D207" s="306" t="s">
        <v>1541</v>
      </c>
      <c r="E207" s="313">
        <v>12</v>
      </c>
      <c r="F207" s="308" t="s">
        <v>5</v>
      </c>
      <c r="G207" s="338">
        <f>'Composições Unitárias'!G2554</f>
        <v>7.214479999999998</v>
      </c>
      <c r="H207" s="338">
        <f t="shared" si="10"/>
        <v>86.57375999999998</v>
      </c>
      <c r="I207" s="336">
        <f t="shared" si="11"/>
        <v>23.340285695999995</v>
      </c>
      <c r="J207" s="338">
        <f t="shared" si="12"/>
        <v>109.91404569599997</v>
      </c>
      <c r="K207" s="128" t="s">
        <v>206</v>
      </c>
      <c r="L207" s="604">
        <f t="shared" si="13"/>
        <v>0.0004923578372092387</v>
      </c>
    </row>
    <row r="208" spans="1:12" ht="12.75">
      <c r="A208" s="64"/>
      <c r="B208" s="369" t="s">
        <v>1762</v>
      </c>
      <c r="C208" s="349" t="s">
        <v>353</v>
      </c>
      <c r="D208" s="357" t="s">
        <v>1542</v>
      </c>
      <c r="E208" s="322">
        <v>10</v>
      </c>
      <c r="F208" s="319" t="s">
        <v>5</v>
      </c>
      <c r="G208" s="336">
        <f>'Composições Unitárias'!G2570</f>
        <v>20.7612</v>
      </c>
      <c r="H208" s="336">
        <f t="shared" si="10"/>
        <v>207.612</v>
      </c>
      <c r="I208" s="336">
        <f t="shared" si="11"/>
        <v>55.9721952</v>
      </c>
      <c r="J208" s="336">
        <f t="shared" si="12"/>
        <v>263.5841952</v>
      </c>
      <c r="K208" s="128" t="s">
        <v>206</v>
      </c>
      <c r="L208" s="604">
        <f t="shared" si="13"/>
        <v>0.0011807202932930772</v>
      </c>
    </row>
    <row r="209" spans="1:12" ht="25.5">
      <c r="A209" s="64"/>
      <c r="B209" s="369" t="s">
        <v>1763</v>
      </c>
      <c r="C209" s="378" t="s">
        <v>408</v>
      </c>
      <c r="D209" s="332" t="s">
        <v>233</v>
      </c>
      <c r="E209" s="322">
        <v>5</v>
      </c>
      <c r="F209" s="319" t="s">
        <v>110</v>
      </c>
      <c r="G209" s="336">
        <f>'Composições Unitárias'!G1869</f>
        <v>117.18911704000001</v>
      </c>
      <c r="H209" s="336">
        <f t="shared" si="10"/>
        <v>585.9455852000001</v>
      </c>
      <c r="I209" s="336">
        <f>ROUND(H209*$I$12,2)</f>
        <v>157.97</v>
      </c>
      <c r="J209" s="336">
        <f>ROUND(SUM(H209:I209),2)</f>
        <v>743.92</v>
      </c>
      <c r="K209" s="128" t="s">
        <v>206</v>
      </c>
      <c r="L209" s="443">
        <f t="shared" si="13"/>
        <v>0.0033323596093247404</v>
      </c>
    </row>
    <row r="210" spans="1:12" ht="12.75">
      <c r="A210" s="64"/>
      <c r="B210" s="580" t="s">
        <v>1549</v>
      </c>
      <c r="C210" s="583"/>
      <c r="D210" s="583" t="s">
        <v>1550</v>
      </c>
      <c r="E210" s="583"/>
      <c r="F210" s="583"/>
      <c r="G210" s="583"/>
      <c r="H210" s="583"/>
      <c r="I210" s="583"/>
      <c r="J210" s="583"/>
      <c r="K210" s="125"/>
      <c r="L210" s="443"/>
    </row>
    <row r="211" spans="1:12" ht="12.75">
      <c r="A211" s="64"/>
      <c r="B211" s="369" t="s">
        <v>1764</v>
      </c>
      <c r="C211" s="133" t="s">
        <v>354</v>
      </c>
      <c r="D211" s="306" t="s">
        <v>257</v>
      </c>
      <c r="E211" s="313">
        <v>4</v>
      </c>
      <c r="F211" s="308" t="s">
        <v>5</v>
      </c>
      <c r="G211" s="338">
        <f>'Composições Unitárias'!G2588</f>
        <v>10.698272</v>
      </c>
      <c r="H211" s="338">
        <f>E211*G211</f>
        <v>42.793088</v>
      </c>
      <c r="I211" s="336">
        <f>H211*$I$12</f>
        <v>11.5370165248</v>
      </c>
      <c r="J211" s="338">
        <f>H211+I211</f>
        <v>54.3301045248</v>
      </c>
      <c r="K211" s="125" t="s">
        <v>206</v>
      </c>
      <c r="L211" s="443">
        <f>H211/$J$313</f>
        <v>0.0002433706501275286</v>
      </c>
    </row>
    <row r="212" spans="1:12" ht="12.75">
      <c r="A212" s="64"/>
      <c r="B212" s="369" t="s">
        <v>1765</v>
      </c>
      <c r="C212" s="349" t="s">
        <v>355</v>
      </c>
      <c r="D212" s="357" t="s">
        <v>258</v>
      </c>
      <c r="E212" s="322">
        <v>6</v>
      </c>
      <c r="F212" s="319" t="s">
        <v>5</v>
      </c>
      <c r="G212" s="336">
        <f>'Composições Unitárias'!G2605</f>
        <v>16.633616</v>
      </c>
      <c r="H212" s="336">
        <f>E212*G212</f>
        <v>99.80169599999999</v>
      </c>
      <c r="I212" s="336">
        <f>H212*$I$12</f>
        <v>26.9065372416</v>
      </c>
      <c r="J212" s="336">
        <f>H212+I212</f>
        <v>126.7082332416</v>
      </c>
      <c r="K212" s="125" t="s">
        <v>206</v>
      </c>
      <c r="L212" s="443">
        <f>H212/$J$313</f>
        <v>0.0005675870747946484</v>
      </c>
    </row>
    <row r="213" spans="1:12" ht="12.75">
      <c r="A213" s="64"/>
      <c r="B213" s="369" t="s">
        <v>1766</v>
      </c>
      <c r="C213" s="133" t="s">
        <v>356</v>
      </c>
      <c r="D213" s="306" t="s">
        <v>259</v>
      </c>
      <c r="E213" s="313">
        <v>8</v>
      </c>
      <c r="F213" s="308" t="s">
        <v>5</v>
      </c>
      <c r="G213" s="338">
        <f>'Composições Unitárias'!G2622</f>
        <v>36.068784</v>
      </c>
      <c r="H213" s="338">
        <f>E213*G213</f>
        <v>288.550272</v>
      </c>
      <c r="I213" s="336">
        <f>H213*$I$12</f>
        <v>77.7931533312</v>
      </c>
      <c r="J213" s="338">
        <f>H213+I213</f>
        <v>366.3434253312</v>
      </c>
      <c r="K213" s="125" t="s">
        <v>206</v>
      </c>
      <c r="L213" s="443">
        <f>H213/$J$313</f>
        <v>0.0016410282728630198</v>
      </c>
    </row>
    <row r="214" spans="1:12" ht="12.75">
      <c r="A214" s="64"/>
      <c r="B214" s="369" t="s">
        <v>1767</v>
      </c>
      <c r="C214" s="378" t="s">
        <v>371</v>
      </c>
      <c r="D214" s="357" t="s">
        <v>260</v>
      </c>
      <c r="E214" s="322">
        <v>14</v>
      </c>
      <c r="F214" s="319" t="s">
        <v>5</v>
      </c>
      <c r="G214" s="336">
        <f>'Composições Unitárias'!G2639</f>
        <v>38.268608</v>
      </c>
      <c r="H214" s="336">
        <f>E214*G214</f>
        <v>535.7605120000001</v>
      </c>
      <c r="I214" s="336">
        <f>H214*$I$12</f>
        <v>144.44103403520003</v>
      </c>
      <c r="J214" s="336">
        <f>H214+I214</f>
        <v>680.2015460352001</v>
      </c>
      <c r="K214" s="125" t="s">
        <v>206</v>
      </c>
      <c r="L214" s="443">
        <f>H214/$J$313</f>
        <v>0.003046949640981684</v>
      </c>
    </row>
    <row r="215" spans="1:12" ht="12.75">
      <c r="A215" s="64"/>
      <c r="B215" s="580" t="s">
        <v>1551</v>
      </c>
      <c r="C215" s="583"/>
      <c r="D215" s="583" t="s">
        <v>1552</v>
      </c>
      <c r="E215" s="583"/>
      <c r="F215" s="583"/>
      <c r="G215" s="583"/>
      <c r="H215" s="583"/>
      <c r="I215" s="583"/>
      <c r="J215" s="583"/>
      <c r="L215" s="1"/>
    </row>
    <row r="216" spans="1:12" ht="12.75">
      <c r="A216" s="64"/>
      <c r="B216" s="369" t="s">
        <v>1768</v>
      </c>
      <c r="C216" s="378" t="s">
        <v>372</v>
      </c>
      <c r="D216" s="357" t="s">
        <v>263</v>
      </c>
      <c r="E216" s="322">
        <v>2</v>
      </c>
      <c r="F216" s="319" t="s">
        <v>5</v>
      </c>
      <c r="G216" s="336">
        <f>'Composições Unitárias'!G2719</f>
        <v>16.321376</v>
      </c>
      <c r="H216" s="336">
        <f>E216*G216</f>
        <v>32.642752</v>
      </c>
      <c r="I216" s="336">
        <f>H216*$I$12</f>
        <v>8.800485939200001</v>
      </c>
      <c r="J216" s="336">
        <f>H216+I216</f>
        <v>41.4432379392</v>
      </c>
      <c r="K216" s="125" t="s">
        <v>206</v>
      </c>
      <c r="L216" s="443">
        <f>H216/$J$313</f>
        <v>0.00018564418104605318</v>
      </c>
    </row>
    <row r="217" spans="1:12" ht="12.75">
      <c r="A217" s="64"/>
      <c r="B217" s="580" t="s">
        <v>1553</v>
      </c>
      <c r="C217" s="583"/>
      <c r="D217" s="583" t="s">
        <v>1554</v>
      </c>
      <c r="E217" s="583"/>
      <c r="F217" s="583"/>
      <c r="G217" s="583"/>
      <c r="H217" s="583"/>
      <c r="I217" s="583"/>
      <c r="J217" s="583"/>
      <c r="L217" s="1"/>
    </row>
    <row r="218" spans="1:12" ht="12.75">
      <c r="A218" s="64"/>
      <c r="B218" s="369" t="s">
        <v>1769</v>
      </c>
      <c r="C218" s="186" t="s">
        <v>370</v>
      </c>
      <c r="D218" s="306" t="s">
        <v>261</v>
      </c>
      <c r="E218" s="313">
        <v>2</v>
      </c>
      <c r="F218" s="308" t="s">
        <v>5</v>
      </c>
      <c r="G218" s="338">
        <f>'Composições Unitárias'!G2661</f>
        <v>35.658608</v>
      </c>
      <c r="H218" s="338">
        <f>E218*G218</f>
        <v>71.317216</v>
      </c>
      <c r="I218" s="336">
        <f>H218*$I$12</f>
        <v>19.2271214336</v>
      </c>
      <c r="J218" s="338">
        <f>H218+I218</f>
        <v>90.5443374336</v>
      </c>
      <c r="K218" s="125" t="s">
        <v>206</v>
      </c>
      <c r="L218" s="443">
        <f>H218/$J$313</f>
        <v>0.00040559160449475825</v>
      </c>
    </row>
    <row r="219" spans="1:12" ht="12.75">
      <c r="A219" s="64"/>
      <c r="B219" s="369" t="s">
        <v>1770</v>
      </c>
      <c r="C219" s="378" t="s">
        <v>369</v>
      </c>
      <c r="D219" s="357" t="s">
        <v>262</v>
      </c>
      <c r="E219" s="322">
        <v>3</v>
      </c>
      <c r="F219" s="319" t="s">
        <v>5</v>
      </c>
      <c r="G219" s="336">
        <f>'Composições Unitárias'!G2680</f>
        <v>51.802575999999995</v>
      </c>
      <c r="H219" s="336">
        <f>E219*G219</f>
        <v>155.407728</v>
      </c>
      <c r="I219" s="336">
        <f>H219*$I$12</f>
        <v>41.8979234688</v>
      </c>
      <c r="J219" s="336">
        <f>H219+I219</f>
        <v>197.3056514688</v>
      </c>
      <c r="K219" s="125" t="s">
        <v>206</v>
      </c>
      <c r="L219" s="443">
        <f>H219/$J$313</f>
        <v>0.0008838268413394736</v>
      </c>
    </row>
    <row r="220" spans="1:12" ht="12.75">
      <c r="A220" s="64"/>
      <c r="B220" s="580" t="s">
        <v>1555</v>
      </c>
      <c r="C220" s="583"/>
      <c r="D220" s="583" t="s">
        <v>1556</v>
      </c>
      <c r="E220" s="583"/>
      <c r="F220" s="583"/>
      <c r="G220" s="583"/>
      <c r="H220" s="583"/>
      <c r="I220" s="583"/>
      <c r="J220" s="583"/>
      <c r="L220" s="1"/>
    </row>
    <row r="221" spans="1:12" ht="12.75">
      <c r="A221" s="64"/>
      <c r="B221" s="368" t="s">
        <v>1771</v>
      </c>
      <c r="C221" s="378" t="s">
        <v>1330</v>
      </c>
      <c r="D221" s="357" t="s">
        <v>1331</v>
      </c>
      <c r="E221" s="322">
        <v>8</v>
      </c>
      <c r="F221" s="322" t="s">
        <v>5</v>
      </c>
      <c r="G221" s="336">
        <f>'Composições Unitárias'!G72</f>
        <v>9.815828</v>
      </c>
      <c r="H221" s="336">
        <f>E221*G221</f>
        <v>78.526624</v>
      </c>
      <c r="I221" s="336">
        <f>H221*$I$12</f>
        <v>21.1707778304</v>
      </c>
      <c r="J221" s="336">
        <f>H221+I221</f>
        <v>99.6974018304</v>
      </c>
      <c r="K221" s="125" t="s">
        <v>206</v>
      </c>
      <c r="L221" s="443">
        <f>H221/$J$313</f>
        <v>0.00044659257904454083</v>
      </c>
    </row>
    <row r="222" spans="1:10" ht="12.75">
      <c r="A222" s="64"/>
      <c r="B222" s="580" t="s">
        <v>1557</v>
      </c>
      <c r="C222" s="583"/>
      <c r="D222" s="583" t="s">
        <v>1558</v>
      </c>
      <c r="E222" s="583"/>
      <c r="F222" s="583"/>
      <c r="G222" s="583"/>
      <c r="H222" s="583"/>
      <c r="I222" s="583"/>
      <c r="J222" s="583"/>
    </row>
    <row r="223" spans="1:12" ht="12.75">
      <c r="A223" s="64"/>
      <c r="B223" s="369" t="s">
        <v>1772</v>
      </c>
      <c r="C223" s="378" t="s">
        <v>1322</v>
      </c>
      <c r="D223" s="357" t="s">
        <v>1324</v>
      </c>
      <c r="E223" s="322">
        <v>8</v>
      </c>
      <c r="F223" s="322" t="s">
        <v>5</v>
      </c>
      <c r="G223" s="336">
        <f>'Composições Unitárias'!G2833</f>
        <v>9.434265</v>
      </c>
      <c r="H223" s="336">
        <f>E223*G223</f>
        <v>75.47412</v>
      </c>
      <c r="I223" s="336">
        <f>H223*$I$12</f>
        <v>20.347822752</v>
      </c>
      <c r="J223" s="336">
        <f>H223+I223</f>
        <v>95.821942752</v>
      </c>
      <c r="K223" s="125" t="s">
        <v>206</v>
      </c>
      <c r="L223" s="443">
        <f>H223/$J$313</f>
        <v>0.0004292325352216486</v>
      </c>
    </row>
    <row r="224" spans="1:12" ht="12.75">
      <c r="A224" s="64"/>
      <c r="B224" s="580" t="s">
        <v>1774</v>
      </c>
      <c r="C224" s="583"/>
      <c r="D224" s="583" t="s">
        <v>1775</v>
      </c>
      <c r="E224" s="583"/>
      <c r="F224" s="583"/>
      <c r="G224" s="583"/>
      <c r="H224" s="583"/>
      <c r="I224" s="583"/>
      <c r="J224" s="686"/>
      <c r="K224" s="125"/>
      <c r="L224" s="443"/>
    </row>
    <row r="225" spans="1:12" ht="12.75">
      <c r="A225" s="64"/>
      <c r="B225" s="369" t="s">
        <v>1776</v>
      </c>
      <c r="C225" s="582" t="s">
        <v>346</v>
      </c>
      <c r="D225" s="603" t="s">
        <v>1219</v>
      </c>
      <c r="E225" s="387">
        <v>5</v>
      </c>
      <c r="F225" s="325" t="s">
        <v>5</v>
      </c>
      <c r="G225" s="337">
        <f>'Composições Unitárias'!G2413</f>
        <v>66.251024</v>
      </c>
      <c r="H225" s="337">
        <f>E225*G225</f>
        <v>331.25512000000003</v>
      </c>
      <c r="I225" s="337">
        <f>H225*$I$12</f>
        <v>89.306380352</v>
      </c>
      <c r="J225" s="337">
        <f>H225+I225</f>
        <v>420.56150035200005</v>
      </c>
      <c r="K225" s="125"/>
      <c r="L225" s="443"/>
    </row>
    <row r="226" spans="1:12" ht="12.75">
      <c r="A226" s="64"/>
      <c r="B226" s="369" t="s">
        <v>1777</v>
      </c>
      <c r="C226" s="378" t="s">
        <v>410</v>
      </c>
      <c r="D226" s="357" t="s">
        <v>256</v>
      </c>
      <c r="E226" s="322">
        <v>1</v>
      </c>
      <c r="F226" s="319" t="s">
        <v>5</v>
      </c>
      <c r="G226" s="336">
        <f>'Composições Unitárias'!G2429</f>
        <v>49.638784</v>
      </c>
      <c r="H226" s="336">
        <f>E226*G226</f>
        <v>49.638784</v>
      </c>
      <c r="I226" s="336">
        <f>H226*$I$12</f>
        <v>13.3826161664</v>
      </c>
      <c r="J226" s="336">
        <f>H226+I226</f>
        <v>63.0214001664</v>
      </c>
      <c r="K226" s="125"/>
      <c r="L226" s="443"/>
    </row>
    <row r="227" spans="1:12" ht="12.75">
      <c r="A227" s="64"/>
      <c r="B227" s="369" t="s">
        <v>1778</v>
      </c>
      <c r="C227" s="349" t="s">
        <v>357</v>
      </c>
      <c r="D227" s="357" t="s">
        <v>1218</v>
      </c>
      <c r="E227" s="322">
        <v>9</v>
      </c>
      <c r="F227" s="319" t="s">
        <v>5</v>
      </c>
      <c r="G227" s="336">
        <f>'Composições Unitárias'!G2701</f>
        <v>10.190688</v>
      </c>
      <c r="H227" s="336">
        <f>E227*G227</f>
        <v>91.71619199999999</v>
      </c>
      <c r="I227" s="336">
        <f>H227*$I$12</f>
        <v>24.726685363199998</v>
      </c>
      <c r="J227" s="653">
        <f>H227+I227</f>
        <v>116.44287736319998</v>
      </c>
      <c r="K227" s="125"/>
      <c r="L227" s="443"/>
    </row>
    <row r="228" spans="1:12" ht="12.75">
      <c r="A228" s="64"/>
      <c r="B228" s="369" t="s">
        <v>1779</v>
      </c>
      <c r="C228" s="133" t="s">
        <v>1119</v>
      </c>
      <c r="D228" s="306" t="s">
        <v>264</v>
      </c>
      <c r="E228" s="313">
        <v>2</v>
      </c>
      <c r="F228" s="308" t="s">
        <v>5</v>
      </c>
      <c r="G228" s="338">
        <f>'Composições Unitárias'!G2737</f>
        <v>14.23448</v>
      </c>
      <c r="H228" s="338">
        <f>E228*G228</f>
        <v>28.46896</v>
      </c>
      <c r="I228" s="336">
        <f>H228*$I$12</f>
        <v>7.675231616</v>
      </c>
      <c r="J228" s="338">
        <f>H228+I228</f>
        <v>36.144191616</v>
      </c>
      <c r="K228" s="125"/>
      <c r="L228" s="443"/>
    </row>
    <row r="229" spans="1:12" ht="12.75">
      <c r="A229" s="64"/>
      <c r="B229" s="369" t="s">
        <v>1780</v>
      </c>
      <c r="C229" s="378" t="s">
        <v>1227</v>
      </c>
      <c r="D229" s="400" t="s">
        <v>1220</v>
      </c>
      <c r="E229" s="322">
        <v>1</v>
      </c>
      <c r="F229" s="322" t="s">
        <v>5</v>
      </c>
      <c r="G229" s="336">
        <f>'Composições Unitárias'!G2876</f>
        <v>48.94674</v>
      </c>
      <c r="H229" s="336">
        <f>E229*G229</f>
        <v>48.94674</v>
      </c>
      <c r="I229" s="336">
        <f>H229*$I$12</f>
        <v>13.196041104</v>
      </c>
      <c r="J229" s="336">
        <f>H229+I229</f>
        <v>62.142781104</v>
      </c>
      <c r="K229" s="125"/>
      <c r="L229" s="443"/>
    </row>
    <row r="230" spans="1:12" ht="12.75">
      <c r="A230" s="64"/>
      <c r="B230" s="569" t="s">
        <v>1631</v>
      </c>
      <c r="C230" s="569"/>
      <c r="D230" s="575" t="s">
        <v>1632</v>
      </c>
      <c r="E230" s="569"/>
      <c r="F230" s="569"/>
      <c r="G230" s="569"/>
      <c r="H230" s="569"/>
      <c r="I230" s="569"/>
      <c r="J230" s="569"/>
      <c r="K230" s="125"/>
      <c r="L230" s="443"/>
    </row>
    <row r="231" spans="1:12" ht="12.75">
      <c r="A231" s="64"/>
      <c r="B231" s="580" t="s">
        <v>1633</v>
      </c>
      <c r="C231" s="583"/>
      <c r="D231" s="583" t="s">
        <v>1634</v>
      </c>
      <c r="E231" s="583"/>
      <c r="F231" s="583"/>
      <c r="G231" s="583"/>
      <c r="H231" s="583"/>
      <c r="I231" s="583"/>
      <c r="J231" s="583"/>
      <c r="K231" s="125"/>
      <c r="L231" s="443"/>
    </row>
    <row r="232" spans="1:12" ht="12.75">
      <c r="A232" s="64"/>
      <c r="B232" s="369" t="s">
        <v>1773</v>
      </c>
      <c r="C232" s="378" t="s">
        <v>1335</v>
      </c>
      <c r="D232" s="400" t="s">
        <v>1336</v>
      </c>
      <c r="E232" s="322">
        <v>1</v>
      </c>
      <c r="F232" s="322" t="s">
        <v>1337</v>
      </c>
      <c r="G232" s="336">
        <f>'Composições Unitárias'!G2857</f>
        <v>167.37850799999998</v>
      </c>
      <c r="H232" s="336">
        <f>E232*G232</f>
        <v>167.37850799999998</v>
      </c>
      <c r="I232" s="336">
        <f>H232*$I$12</f>
        <v>45.1252457568</v>
      </c>
      <c r="J232" s="336">
        <f>H232+I232</f>
        <v>212.5037537568</v>
      </c>
      <c r="K232" s="128" t="s">
        <v>206</v>
      </c>
      <c r="L232" s="443">
        <f>H232/$J$313</f>
        <v>0.0009519064459507045</v>
      </c>
    </row>
    <row r="233" spans="1:12" ht="12.75">
      <c r="A233" s="64"/>
      <c r="B233" s="380"/>
      <c r="C233" s="381"/>
      <c r="D233" s="382"/>
      <c r="E233" s="383"/>
      <c r="F233" s="384"/>
      <c r="G233" s="385" t="s">
        <v>1635</v>
      </c>
      <c r="H233" s="386">
        <f>SUM(H114:H232)</f>
        <v>30851.63073710999</v>
      </c>
      <c r="I233" s="386">
        <f>SUM(I114:I232)</f>
        <v>8317.605524004686</v>
      </c>
      <c r="J233" s="386">
        <f>ROUND(SUM(H233:I233),2)</f>
        <v>39169.24</v>
      </c>
      <c r="K233" s="125"/>
      <c r="L233" s="443"/>
    </row>
    <row r="234" spans="1:12" ht="12.75">
      <c r="A234" s="64"/>
      <c r="B234" s="308"/>
      <c r="C234" s="301"/>
      <c r="D234" s="300"/>
      <c r="E234" s="313"/>
      <c r="F234" s="358"/>
      <c r="G234" s="359"/>
      <c r="H234" s="360"/>
      <c r="I234" s="360"/>
      <c r="J234" s="360"/>
      <c r="K234" s="120"/>
      <c r="L234" s="443"/>
    </row>
    <row r="235" spans="1:12" ht="15" customHeight="1">
      <c r="A235" s="64"/>
      <c r="B235" s="350" t="s">
        <v>1454</v>
      </c>
      <c r="C235" s="773" t="s">
        <v>1455</v>
      </c>
      <c r="D235" s="773"/>
      <c r="E235" s="773"/>
      <c r="F235" s="773"/>
      <c r="G235" s="773"/>
      <c r="H235" s="773"/>
      <c r="I235" s="773"/>
      <c r="J235" s="773"/>
      <c r="K235" s="120"/>
      <c r="L235" s="443"/>
    </row>
    <row r="236" spans="1:12" ht="15" customHeight="1">
      <c r="A236" s="64"/>
      <c r="B236" s="777" t="s">
        <v>1213</v>
      </c>
      <c r="C236" s="775" t="s">
        <v>1210</v>
      </c>
      <c r="D236" s="775" t="s">
        <v>26</v>
      </c>
      <c r="E236" s="775" t="s">
        <v>34</v>
      </c>
      <c r="F236" s="775" t="s">
        <v>1211</v>
      </c>
      <c r="G236" s="775" t="s">
        <v>1214</v>
      </c>
      <c r="H236" s="775" t="s">
        <v>1215</v>
      </c>
      <c r="I236" s="565" t="s">
        <v>27</v>
      </c>
      <c r="J236" s="775" t="s">
        <v>1212</v>
      </c>
      <c r="K236" s="120"/>
      <c r="L236" s="443"/>
    </row>
    <row r="237" spans="1:12" ht="12.75">
      <c r="A237" s="64"/>
      <c r="B237" s="778"/>
      <c r="C237" s="776"/>
      <c r="D237" s="776"/>
      <c r="E237" s="776"/>
      <c r="F237" s="776"/>
      <c r="G237" s="776"/>
      <c r="H237" s="776"/>
      <c r="I237" s="294">
        <v>0.2696</v>
      </c>
      <c r="J237" s="776"/>
      <c r="K237" s="120"/>
      <c r="L237" s="443"/>
    </row>
    <row r="238" spans="1:12" ht="12.75">
      <c r="A238" s="64"/>
      <c r="B238" s="569" t="s">
        <v>1495</v>
      </c>
      <c r="C238" s="569"/>
      <c r="D238" s="574" t="s">
        <v>1494</v>
      </c>
      <c r="E238" s="569"/>
      <c r="F238" s="569"/>
      <c r="G238" s="569"/>
      <c r="H238" s="569"/>
      <c r="I238" s="569"/>
      <c r="J238" s="569"/>
      <c r="K238" s="121"/>
      <c r="L238" s="443"/>
    </row>
    <row r="239" spans="1:12" ht="12.75">
      <c r="A239" s="64"/>
      <c r="B239" s="578" t="s">
        <v>1496</v>
      </c>
      <c r="C239" s="578"/>
      <c r="D239" s="579" t="s">
        <v>1781</v>
      </c>
      <c r="E239" s="578"/>
      <c r="F239" s="578"/>
      <c r="G239" s="578"/>
      <c r="H239" s="578"/>
      <c r="I239" s="578"/>
      <c r="J239" s="578"/>
      <c r="K239" s="121"/>
      <c r="L239" s="443"/>
    </row>
    <row r="240" spans="1:12" ht="38.25">
      <c r="A240" s="64"/>
      <c r="B240" s="326" t="s">
        <v>1782</v>
      </c>
      <c r="C240" s="378" t="s">
        <v>403</v>
      </c>
      <c r="D240" s="332" t="s">
        <v>224</v>
      </c>
      <c r="E240" s="322">
        <v>1</v>
      </c>
      <c r="F240" s="319" t="s">
        <v>5</v>
      </c>
      <c r="G240" s="336">
        <f>'Composições Unitárias'!G1688</f>
        <v>2921.347338</v>
      </c>
      <c r="H240" s="336">
        <f>E240*G240</f>
        <v>2921.347338</v>
      </c>
      <c r="I240" s="336">
        <f>H240*$I$12</f>
        <v>787.5952423248</v>
      </c>
      <c r="J240" s="336">
        <f>SUM(H240:I240)</f>
        <v>3708.9425803248</v>
      </c>
      <c r="K240" s="126" t="s">
        <v>211</v>
      </c>
      <c r="L240" s="443">
        <f>H240/$J$313</f>
        <v>0.016614136397387003</v>
      </c>
    </row>
    <row r="241" spans="1:12" ht="12.75">
      <c r="A241" s="64"/>
      <c r="B241" s="578" t="s">
        <v>1499</v>
      </c>
      <c r="C241" s="578"/>
      <c r="D241" s="579" t="s">
        <v>1500</v>
      </c>
      <c r="E241" s="578"/>
      <c r="F241" s="578"/>
      <c r="G241" s="578"/>
      <c r="H241" s="578"/>
      <c r="I241" s="578"/>
      <c r="J241" s="578"/>
      <c r="K241" s="134"/>
      <c r="L241" s="443"/>
    </row>
    <row r="242" spans="1:12" ht="38.25">
      <c r="A242" s="64"/>
      <c r="B242" s="326" t="s">
        <v>1783</v>
      </c>
      <c r="C242" s="349" t="s">
        <v>313</v>
      </c>
      <c r="D242" s="351" t="s">
        <v>1501</v>
      </c>
      <c r="E242" s="322">
        <v>100</v>
      </c>
      <c r="F242" s="319" t="s">
        <v>5</v>
      </c>
      <c r="G242" s="336">
        <f>'Composições Unitárias'!G1369</f>
        <v>11.937013560000002</v>
      </c>
      <c r="H242" s="336">
        <f>E242*G242</f>
        <v>1193.7013560000003</v>
      </c>
      <c r="I242" s="336">
        <f>ROUND(H242*$I$12,2)</f>
        <v>321.82</v>
      </c>
      <c r="J242" s="336">
        <f>ROUND(SUM(H242:I242),2)</f>
        <v>1515.52</v>
      </c>
      <c r="K242" s="122" t="s">
        <v>206</v>
      </c>
      <c r="L242" s="443">
        <f>H242/$J$313</f>
        <v>0.006788756984955901</v>
      </c>
    </row>
    <row r="243" spans="1:12" ht="38.25">
      <c r="A243" s="64"/>
      <c r="B243" s="326" t="s">
        <v>1784</v>
      </c>
      <c r="C243" s="133" t="s">
        <v>314</v>
      </c>
      <c r="D243" s="581" t="s">
        <v>1502</v>
      </c>
      <c r="E243" s="313">
        <v>9</v>
      </c>
      <c r="F243" s="308" t="s">
        <v>5</v>
      </c>
      <c r="G243" s="338">
        <f>'Composições Unitárias'!G1384</f>
        <v>14.910239592</v>
      </c>
      <c r="H243" s="338">
        <f>E243*G243</f>
        <v>134.192156328</v>
      </c>
      <c r="I243" s="338">
        <f>ROUND(H243*$I$12,2)</f>
        <v>36.18</v>
      </c>
      <c r="J243" s="338">
        <f>ROUND(SUM(H243:I243),2)</f>
        <v>170.37</v>
      </c>
      <c r="K243" s="122" t="s">
        <v>207</v>
      </c>
      <c r="L243" s="443">
        <f>H243/$J$313</f>
        <v>0.0007631707327959206</v>
      </c>
    </row>
    <row r="244" spans="1:12" ht="12.75">
      <c r="A244" s="64"/>
      <c r="B244" s="580" t="s">
        <v>1516</v>
      </c>
      <c r="C244" s="580"/>
      <c r="D244" s="583" t="s">
        <v>1517</v>
      </c>
      <c r="E244" s="580"/>
      <c r="F244" s="580"/>
      <c r="G244" s="580"/>
      <c r="H244" s="580"/>
      <c r="I244" s="580"/>
      <c r="J244" s="580"/>
      <c r="K244" s="122"/>
      <c r="L244" s="443"/>
    </row>
    <row r="245" spans="1:12" ht="51">
      <c r="A245" s="64"/>
      <c r="B245" s="326" t="s">
        <v>1785</v>
      </c>
      <c r="C245" s="349" t="s">
        <v>317</v>
      </c>
      <c r="D245" s="379" t="s">
        <v>1514</v>
      </c>
      <c r="E245" s="322">
        <v>470</v>
      </c>
      <c r="F245" s="319" t="s">
        <v>4</v>
      </c>
      <c r="G245" s="336">
        <f>'Composições Unitárias'!G1488</f>
        <v>2.88129004</v>
      </c>
      <c r="H245" s="336">
        <f>E245*G245</f>
        <v>1354.2063188</v>
      </c>
      <c r="I245" s="336">
        <f>ROUND(H245*$I$12,2)</f>
        <v>365.09</v>
      </c>
      <c r="J245" s="336">
        <f>ROUND(SUM(H245:I245),2)</f>
        <v>1719.3</v>
      </c>
      <c r="K245" s="122" t="s">
        <v>211</v>
      </c>
      <c r="L245" s="443">
        <f>H245/$J$313</f>
        <v>0.00770157255800664</v>
      </c>
    </row>
    <row r="246" spans="1:12" ht="51">
      <c r="A246" s="64"/>
      <c r="B246" s="326" t="s">
        <v>1786</v>
      </c>
      <c r="C246" s="582" t="s">
        <v>318</v>
      </c>
      <c r="D246" s="584" t="s">
        <v>1515</v>
      </c>
      <c r="E246" s="387">
        <v>500</v>
      </c>
      <c r="F246" s="325" t="s">
        <v>4</v>
      </c>
      <c r="G246" s="337">
        <f>'Composições Unitárias'!G1503</f>
        <v>6.482644736</v>
      </c>
      <c r="H246" s="337">
        <f>E246*G246</f>
        <v>3241.322368</v>
      </c>
      <c r="I246" s="337">
        <f>ROUND(H246*$I$12,2)</f>
        <v>873.86</v>
      </c>
      <c r="J246" s="337">
        <f>ROUND(SUM(H246:I246),2)</f>
        <v>4115.18</v>
      </c>
      <c r="K246" s="122" t="s">
        <v>211</v>
      </c>
      <c r="L246" s="443">
        <f>H246/$J$313</f>
        <v>0.018433881938435023</v>
      </c>
    </row>
    <row r="247" spans="1:12" ht="12.75">
      <c r="A247" s="64"/>
      <c r="B247" s="580" t="s">
        <v>1503</v>
      </c>
      <c r="C247" s="580"/>
      <c r="D247" s="579" t="s">
        <v>1504</v>
      </c>
      <c r="E247" s="580"/>
      <c r="F247" s="580"/>
      <c r="G247" s="580"/>
      <c r="H247" s="580"/>
      <c r="I247" s="580"/>
      <c r="J247" s="580"/>
      <c r="K247" s="122"/>
      <c r="L247" s="443"/>
    </row>
    <row r="248" spans="1:12" ht="12.75">
      <c r="A248" s="64"/>
      <c r="B248" s="326" t="s">
        <v>1787</v>
      </c>
      <c r="C248" s="133" t="s">
        <v>315</v>
      </c>
      <c r="D248" s="379" t="s">
        <v>1505</v>
      </c>
      <c r="E248" s="313">
        <v>52</v>
      </c>
      <c r="F248" s="308" t="s">
        <v>6</v>
      </c>
      <c r="G248" s="338">
        <f>'Composições Unitárias'!G1453</f>
        <v>22.4809959852</v>
      </c>
      <c r="H248" s="338">
        <f>E248*G248</f>
        <v>1169.0117912304</v>
      </c>
      <c r="I248" s="338">
        <f>ROUND(H248*$I$12,2)</f>
        <v>315.17</v>
      </c>
      <c r="J248" s="338">
        <f>ROUND(SUM(H248:I248),2)</f>
        <v>1484.18</v>
      </c>
      <c r="K248" s="122" t="s">
        <v>210</v>
      </c>
      <c r="L248" s="443">
        <f>H248/$J$313</f>
        <v>0.006648343761461879</v>
      </c>
    </row>
    <row r="249" spans="1:12" ht="12.75">
      <c r="A249" s="64"/>
      <c r="B249" s="326" t="s">
        <v>1788</v>
      </c>
      <c r="C249" s="349" t="s">
        <v>316</v>
      </c>
      <c r="D249" s="379" t="s">
        <v>1506</v>
      </c>
      <c r="E249" s="322">
        <v>8</v>
      </c>
      <c r="F249" s="319" t="s">
        <v>6</v>
      </c>
      <c r="G249" s="336">
        <f>'Composições Unitárias'!G1469</f>
        <v>23.135982393999996</v>
      </c>
      <c r="H249" s="336">
        <f>E249*G249</f>
        <v>185.08785915199996</v>
      </c>
      <c r="I249" s="336">
        <f>ROUND(H249*$I$12,2)</f>
        <v>49.9</v>
      </c>
      <c r="J249" s="336">
        <f>ROUND(SUM(H249:I249),2)</f>
        <v>234.99</v>
      </c>
      <c r="K249" s="122" t="s">
        <v>207</v>
      </c>
      <c r="L249" s="443">
        <f>H249/$J$313</f>
        <v>0.0010526221574038938</v>
      </c>
    </row>
    <row r="250" spans="1:12" ht="12.75">
      <c r="A250" s="64"/>
      <c r="B250" s="578" t="s">
        <v>1497</v>
      </c>
      <c r="C250" s="578"/>
      <c r="D250" s="579" t="s">
        <v>1498</v>
      </c>
      <c r="E250" s="577"/>
      <c r="F250" s="577"/>
      <c r="G250" s="577"/>
      <c r="H250" s="577"/>
      <c r="I250" s="577"/>
      <c r="J250" s="577"/>
      <c r="K250" s="123"/>
      <c r="L250" s="443"/>
    </row>
    <row r="251" spans="1:12" ht="25.5">
      <c r="A251" s="64"/>
      <c r="B251" s="326" t="s">
        <v>1789</v>
      </c>
      <c r="C251" s="349" t="s">
        <v>322</v>
      </c>
      <c r="D251" s="352" t="s">
        <v>225</v>
      </c>
      <c r="E251" s="327">
        <v>5</v>
      </c>
      <c r="F251" s="319" t="s">
        <v>5</v>
      </c>
      <c r="G251" s="336">
        <f>'Composições Unitárias'!G1707</f>
        <v>12.459864088</v>
      </c>
      <c r="H251" s="336">
        <f>E251*G251</f>
        <v>62.29932044</v>
      </c>
      <c r="I251" s="336">
        <f>H251*$I$12</f>
        <v>16.795896790624003</v>
      </c>
      <c r="J251" s="336">
        <f>SUM(H251:I251)</f>
        <v>79.095217230624</v>
      </c>
      <c r="K251" s="127" t="s">
        <v>211</v>
      </c>
      <c r="L251" s="443">
        <f>H251/$J$313</f>
        <v>0.0003543054924661205</v>
      </c>
    </row>
    <row r="252" spans="1:12" ht="25.5">
      <c r="A252" s="64"/>
      <c r="B252" s="326" t="s">
        <v>1790</v>
      </c>
      <c r="C252" s="349" t="s">
        <v>323</v>
      </c>
      <c r="D252" s="352" t="s">
        <v>226</v>
      </c>
      <c r="E252" s="327">
        <v>1</v>
      </c>
      <c r="F252" s="319" t="s">
        <v>5</v>
      </c>
      <c r="G252" s="336">
        <f>'Composições Unitárias'!G1723</f>
        <v>11.408992064</v>
      </c>
      <c r="H252" s="336">
        <f>E252*G252</f>
        <v>11.408992064</v>
      </c>
      <c r="I252" s="336">
        <f>H252*$I$12</f>
        <v>3.0758642604544</v>
      </c>
      <c r="J252" s="336">
        <f>SUM(H252:I252)</f>
        <v>14.4848563244544</v>
      </c>
      <c r="K252" s="127" t="s">
        <v>211</v>
      </c>
      <c r="L252" s="443">
        <f>H252/$J$313</f>
        <v>6.488463314251812E-05</v>
      </c>
    </row>
    <row r="253" spans="1:12" ht="25.5">
      <c r="A253" s="64"/>
      <c r="B253" s="326" t="s">
        <v>1791</v>
      </c>
      <c r="C253" s="378" t="s">
        <v>404</v>
      </c>
      <c r="D253" s="576" t="s">
        <v>227</v>
      </c>
      <c r="E253" s="322">
        <v>1</v>
      </c>
      <c r="F253" s="319" t="s">
        <v>5</v>
      </c>
      <c r="G253" s="336">
        <f>'Composições Unitárias'!G1739</f>
        <v>434.8812004</v>
      </c>
      <c r="H253" s="336">
        <f>E253*G253</f>
        <v>434.8812004</v>
      </c>
      <c r="I253" s="336">
        <f>H253*$I$12</f>
        <v>117.24397162784001</v>
      </c>
      <c r="J253" s="336">
        <f>SUM(H253:I253)</f>
        <v>552.12517202784</v>
      </c>
      <c r="K253" s="126" t="s">
        <v>211</v>
      </c>
      <c r="L253" s="443">
        <f>H253/$J$313</f>
        <v>0.00247323400614576</v>
      </c>
    </row>
    <row r="254" spans="1:12" ht="25.5">
      <c r="A254" s="64"/>
      <c r="B254" s="326" t="s">
        <v>1792</v>
      </c>
      <c r="C254" s="378" t="s">
        <v>405</v>
      </c>
      <c r="D254" s="321" t="s">
        <v>228</v>
      </c>
      <c r="E254" s="322">
        <v>1</v>
      </c>
      <c r="F254" s="319" t="s">
        <v>5</v>
      </c>
      <c r="G254" s="336">
        <f>'Composições Unitárias'!G1755</f>
        <v>250.57180060000002</v>
      </c>
      <c r="H254" s="336">
        <f>E254*G254</f>
        <v>250.57180060000002</v>
      </c>
      <c r="I254" s="337">
        <f>H254*$I$12</f>
        <v>67.55415744176001</v>
      </c>
      <c r="J254" s="336">
        <f>SUM(H254:I254)</f>
        <v>318.12595804176004</v>
      </c>
      <c r="K254" s="126" t="s">
        <v>211</v>
      </c>
      <c r="L254" s="443">
        <f>H254/$J$313</f>
        <v>0.0014250390627488128</v>
      </c>
    </row>
    <row r="255" spans="1:12" ht="12.75">
      <c r="A255" s="64">
        <f>IF(J255&gt;0,"x","")</f>
      </c>
      <c r="B255" s="571" t="s">
        <v>1487</v>
      </c>
      <c r="C255" s="700"/>
      <c r="D255" s="700" t="s">
        <v>1488</v>
      </c>
      <c r="E255" s="571"/>
      <c r="F255" s="571"/>
      <c r="G255" s="571"/>
      <c r="H255" s="571"/>
      <c r="I255" s="571"/>
      <c r="J255" s="642"/>
      <c r="K255" s="121"/>
      <c r="L255" s="443"/>
    </row>
    <row r="256" spans="1:12" ht="12.75">
      <c r="A256" s="64"/>
      <c r="B256" s="578" t="s">
        <v>1489</v>
      </c>
      <c r="C256" s="578"/>
      <c r="D256" s="579" t="s">
        <v>1492</v>
      </c>
      <c r="E256" s="577"/>
      <c r="F256" s="577"/>
      <c r="G256" s="577"/>
      <c r="H256" s="577"/>
      <c r="I256" s="577"/>
      <c r="J256" s="577"/>
      <c r="K256" s="113"/>
      <c r="L256" s="443"/>
    </row>
    <row r="257" spans="1:17" ht="102">
      <c r="A257" s="64" t="str">
        <f>IF(J257&gt;0,"x","")</f>
        <v>x</v>
      </c>
      <c r="B257" s="326" t="s">
        <v>1793</v>
      </c>
      <c r="C257" s="349" t="s">
        <v>319</v>
      </c>
      <c r="D257" s="379" t="s">
        <v>212</v>
      </c>
      <c r="E257" s="322">
        <v>4</v>
      </c>
      <c r="F257" s="319" t="s">
        <v>5</v>
      </c>
      <c r="G257" s="336">
        <f>'Composições Unitárias'!G1520</f>
        <v>83.45174799999998</v>
      </c>
      <c r="H257" s="336">
        <f aca="true" t="shared" si="14" ref="H257:H265">E257*G257</f>
        <v>333.8069919999999</v>
      </c>
      <c r="I257" s="336">
        <f aca="true" t="shared" si="15" ref="I257:I265">ROUND(H257*$I$12,2)</f>
        <v>89.99</v>
      </c>
      <c r="J257" s="336">
        <f aca="true" t="shared" si="16" ref="J257:J265">ROUND(SUM(H257:I257),2)</f>
        <v>423.8</v>
      </c>
      <c r="K257" s="122" t="s">
        <v>207</v>
      </c>
      <c r="L257" s="443">
        <f>H257/$J$313</f>
        <v>0.0018984099642483086</v>
      </c>
      <c r="Q257" s="527">
        <v>333.8069919999999</v>
      </c>
    </row>
    <row r="258" spans="1:17" ht="51">
      <c r="A258" s="64" t="str">
        <f>IF(J258&gt;0,"x","")</f>
        <v>x</v>
      </c>
      <c r="B258" s="326" t="s">
        <v>1794</v>
      </c>
      <c r="C258" s="186" t="s">
        <v>396</v>
      </c>
      <c r="D258" s="304" t="s">
        <v>213</v>
      </c>
      <c r="E258" s="313">
        <v>10</v>
      </c>
      <c r="F258" s="308" t="s">
        <v>5</v>
      </c>
      <c r="G258" s="338">
        <f>'Composições Unitárias'!G1535</f>
        <v>129.26946759999998</v>
      </c>
      <c r="H258" s="338">
        <f t="shared" si="14"/>
        <v>1292.6946759999998</v>
      </c>
      <c r="I258" s="338">
        <f t="shared" si="15"/>
        <v>348.51</v>
      </c>
      <c r="J258" s="338">
        <f t="shared" si="16"/>
        <v>1641.2</v>
      </c>
      <c r="K258" s="124" t="s">
        <v>214</v>
      </c>
      <c r="L258" s="443">
        <f>H258/$J$313</f>
        <v>0.007351746705321077</v>
      </c>
      <c r="Q258" s="527">
        <v>1292.6946759999998</v>
      </c>
    </row>
    <row r="259" spans="1:17" ht="51">
      <c r="A259" s="64" t="str">
        <f>IF(J259&gt;0,"x","")</f>
        <v>x</v>
      </c>
      <c r="B259" s="326" t="s">
        <v>1795</v>
      </c>
      <c r="C259" s="378" t="s">
        <v>397</v>
      </c>
      <c r="D259" s="332" t="s">
        <v>215</v>
      </c>
      <c r="E259" s="322">
        <v>11</v>
      </c>
      <c r="F259" s="319" t="s">
        <v>5</v>
      </c>
      <c r="G259" s="336">
        <f>'Composições Unitárias'!G1553</f>
        <v>148.3094676</v>
      </c>
      <c r="H259" s="336">
        <f t="shared" si="14"/>
        <v>1631.4041436</v>
      </c>
      <c r="I259" s="336">
        <f t="shared" si="15"/>
        <v>439.83</v>
      </c>
      <c r="J259" s="336">
        <f t="shared" si="16"/>
        <v>2071.23</v>
      </c>
      <c r="K259" s="124" t="s">
        <v>208</v>
      </c>
      <c r="L259" s="443">
        <f>H259/$J$313</f>
        <v>0.009278037776770772</v>
      </c>
      <c r="Q259" s="527">
        <v>1631.4041436</v>
      </c>
    </row>
    <row r="260" spans="1:17" ht="25.5">
      <c r="A260" s="64" t="str">
        <f>IF(J260&gt;0,"x","")</f>
        <v>x</v>
      </c>
      <c r="B260" s="326" t="s">
        <v>1796</v>
      </c>
      <c r="C260" s="378" t="s">
        <v>398</v>
      </c>
      <c r="D260" s="332" t="s">
        <v>216</v>
      </c>
      <c r="E260" s="322">
        <v>8</v>
      </c>
      <c r="F260" s="319" t="s">
        <v>5</v>
      </c>
      <c r="G260" s="336">
        <f>'Composições Unitárias'!G1569</f>
        <v>31.935334</v>
      </c>
      <c r="H260" s="336">
        <f t="shared" si="14"/>
        <v>255.482672</v>
      </c>
      <c r="I260" s="336">
        <f t="shared" si="15"/>
        <v>68.88</v>
      </c>
      <c r="J260" s="653">
        <f t="shared" si="16"/>
        <v>324.36</v>
      </c>
      <c r="K260" s="124" t="s">
        <v>214</v>
      </c>
      <c r="L260" s="443">
        <f>H260/$J$313</f>
        <v>0.0014529679181123397</v>
      </c>
      <c r="Q260" s="527">
        <v>255.482672</v>
      </c>
    </row>
    <row r="261" spans="1:12" ht="12.75">
      <c r="A261" s="64"/>
      <c r="B261" s="578" t="s">
        <v>1490</v>
      </c>
      <c r="C261" s="578"/>
      <c r="D261" s="579" t="s">
        <v>1493</v>
      </c>
      <c r="E261" s="577"/>
      <c r="F261" s="577"/>
      <c r="G261" s="577"/>
      <c r="H261" s="577"/>
      <c r="I261" s="577"/>
      <c r="J261" s="577"/>
      <c r="K261" s="124"/>
      <c r="L261" s="443"/>
    </row>
    <row r="262" spans="1:12" ht="25.5">
      <c r="A262" s="64"/>
      <c r="B262" s="326" t="s">
        <v>1797</v>
      </c>
      <c r="C262" s="349" t="s">
        <v>320</v>
      </c>
      <c r="D262" s="351" t="s">
        <v>219</v>
      </c>
      <c r="E262" s="322">
        <v>2</v>
      </c>
      <c r="F262" s="319" t="s">
        <v>5</v>
      </c>
      <c r="G262" s="336">
        <f>'Composições Unitárias'!G1626</f>
        <v>17.500900299999998</v>
      </c>
      <c r="H262" s="336">
        <f>E262*G262</f>
        <v>35.001800599999996</v>
      </c>
      <c r="I262" s="336">
        <f>ROUND(H262*$I$12,2)</f>
        <v>9.44</v>
      </c>
      <c r="J262" s="336">
        <f>ROUND(SUM(H262:I262),2)</f>
        <v>44.44</v>
      </c>
      <c r="K262" s="122" t="s">
        <v>206</v>
      </c>
      <c r="L262" s="443">
        <f>H262/$J$313</f>
        <v>0.00019906044096785257</v>
      </c>
    </row>
    <row r="263" spans="1:12" ht="25.5">
      <c r="A263" s="64"/>
      <c r="B263" s="326" t="s">
        <v>1798</v>
      </c>
      <c r="C263" s="378" t="s">
        <v>401</v>
      </c>
      <c r="D263" s="379" t="s">
        <v>220</v>
      </c>
      <c r="E263" s="322">
        <v>5</v>
      </c>
      <c r="F263" s="319" t="s">
        <v>5</v>
      </c>
      <c r="G263" s="336">
        <f>'Composições Unitárias'!G1639</f>
        <v>17.67</v>
      </c>
      <c r="H263" s="336">
        <f>E263*G263</f>
        <v>88.35000000000001</v>
      </c>
      <c r="I263" s="336">
        <f>ROUND(H263*$I$12,2)</f>
        <v>23.82</v>
      </c>
      <c r="J263" s="653">
        <f>ROUND(SUM(H263:I263),2)</f>
        <v>112.17</v>
      </c>
      <c r="K263" s="122" t="s">
        <v>208</v>
      </c>
      <c r="L263" s="443">
        <f>H263/$J$313</f>
        <v>0.000502459578022674</v>
      </c>
    </row>
    <row r="264" spans="1:12" ht="12.75">
      <c r="A264" s="64"/>
      <c r="B264" s="580" t="s">
        <v>1491</v>
      </c>
      <c r="C264" s="580"/>
      <c r="D264" s="583" t="s">
        <v>221</v>
      </c>
      <c r="E264" s="687"/>
      <c r="F264" s="687"/>
      <c r="G264" s="687"/>
      <c r="H264" s="687"/>
      <c r="I264" s="687"/>
      <c r="J264" s="688"/>
      <c r="K264" s="124"/>
      <c r="L264" s="443"/>
    </row>
    <row r="265" spans="1:17" ht="38.25">
      <c r="A265" s="64" t="str">
        <f>IF(J265&gt;0,"x","")</f>
        <v>x</v>
      </c>
      <c r="B265" s="326" t="s">
        <v>1799</v>
      </c>
      <c r="C265" s="378" t="s">
        <v>400</v>
      </c>
      <c r="D265" s="321" t="s">
        <v>218</v>
      </c>
      <c r="E265" s="322">
        <v>33</v>
      </c>
      <c r="F265" s="319" t="s">
        <v>5</v>
      </c>
      <c r="G265" s="336">
        <f>'Composições Unitárias'!G1608</f>
        <v>27.917667</v>
      </c>
      <c r="H265" s="336">
        <f t="shared" si="14"/>
        <v>921.2830110000001</v>
      </c>
      <c r="I265" s="336">
        <f t="shared" si="15"/>
        <v>248.38</v>
      </c>
      <c r="J265" s="653">
        <f t="shared" si="16"/>
        <v>1169.66</v>
      </c>
      <c r="K265" s="113" t="s">
        <v>210</v>
      </c>
      <c r="L265" s="443">
        <f>H265/$J$313</f>
        <v>0.005239473378002474</v>
      </c>
      <c r="Q265" s="527">
        <v>921.2830110000001</v>
      </c>
    </row>
    <row r="266" spans="1:12" ht="25.5">
      <c r="A266" s="64"/>
      <c r="B266" s="309" t="s">
        <v>1800</v>
      </c>
      <c r="C266" s="133" t="s">
        <v>321</v>
      </c>
      <c r="D266" s="302" t="s">
        <v>222</v>
      </c>
      <c r="E266" s="313">
        <v>2</v>
      </c>
      <c r="F266" s="308" t="s">
        <v>5</v>
      </c>
      <c r="G266" s="338">
        <f>'Composições Unitárias'!G1654</f>
        <v>34.286251328</v>
      </c>
      <c r="H266" s="338">
        <f>E266*G266</f>
        <v>68.572502656</v>
      </c>
      <c r="I266" s="338">
        <f>ROUND(H266*$I$12,2)</f>
        <v>18.49</v>
      </c>
      <c r="J266" s="338">
        <f>ROUND(SUM(H266:I266),2)</f>
        <v>87.06</v>
      </c>
      <c r="K266" s="125" t="s">
        <v>209</v>
      </c>
      <c r="L266" s="443"/>
    </row>
    <row r="267" spans="1:12" ht="12.75">
      <c r="A267" s="64"/>
      <c r="B267" s="571" t="s">
        <v>1507</v>
      </c>
      <c r="C267" s="700"/>
      <c r="D267" s="700" t="s">
        <v>1508</v>
      </c>
      <c r="E267" s="571"/>
      <c r="F267" s="571"/>
      <c r="G267" s="571"/>
      <c r="H267" s="571"/>
      <c r="I267" s="571"/>
      <c r="J267" s="690"/>
      <c r="K267" s="125"/>
      <c r="L267" s="443"/>
    </row>
    <row r="268" spans="1:12" ht="12.75">
      <c r="A268" s="64"/>
      <c r="B268" s="580" t="s">
        <v>1509</v>
      </c>
      <c r="C268" s="583"/>
      <c r="D268" s="583" t="s">
        <v>1510</v>
      </c>
      <c r="E268" s="687"/>
      <c r="F268" s="687"/>
      <c r="G268" s="687"/>
      <c r="H268" s="687"/>
      <c r="I268" s="687"/>
      <c r="J268" s="688"/>
      <c r="K268" s="125"/>
      <c r="L268" s="443"/>
    </row>
    <row r="269" spans="1:12" ht="38.25">
      <c r="A269" s="64"/>
      <c r="B269" s="326" t="s">
        <v>1801</v>
      </c>
      <c r="C269" s="378" t="s">
        <v>393</v>
      </c>
      <c r="D269" s="351" t="s">
        <v>1511</v>
      </c>
      <c r="E269" s="322">
        <v>5</v>
      </c>
      <c r="F269" s="319" t="s">
        <v>5</v>
      </c>
      <c r="G269" s="336">
        <f>'Composições Unitárias'!G1401</f>
        <v>4.5935334</v>
      </c>
      <c r="H269" s="336">
        <f>E269*G269</f>
        <v>22.967667</v>
      </c>
      <c r="I269" s="336">
        <f>ROUND(H269*$I$12,2)</f>
        <v>6.19</v>
      </c>
      <c r="J269" s="336">
        <f>ROUND(SUM(H269:I269),2)</f>
        <v>29.16</v>
      </c>
      <c r="K269" s="122" t="s">
        <v>208</v>
      </c>
      <c r="L269" s="443">
        <f>H269/$J$313</f>
        <v>0.00013062053501964113</v>
      </c>
    </row>
    <row r="270" spans="1:12" ht="38.25">
      <c r="A270" s="64"/>
      <c r="B270" s="326" t="s">
        <v>1802</v>
      </c>
      <c r="C270" s="378" t="s">
        <v>394</v>
      </c>
      <c r="D270" s="351" t="s">
        <v>1512</v>
      </c>
      <c r="E270" s="313">
        <v>2</v>
      </c>
      <c r="F270" s="308" t="s">
        <v>5</v>
      </c>
      <c r="G270" s="338">
        <f>'Composições Unitárias'!G1417</f>
        <v>4.5935334</v>
      </c>
      <c r="H270" s="336">
        <f>E270*G270</f>
        <v>9.1870668</v>
      </c>
      <c r="I270" s="336">
        <f>ROUND(H270*$I$12,2)</f>
        <v>2.48</v>
      </c>
      <c r="J270" s="336">
        <f>ROUND(SUM(H270:I270),2)</f>
        <v>11.67</v>
      </c>
      <c r="K270" s="122" t="s">
        <v>206</v>
      </c>
      <c r="L270" s="443">
        <f>H270/$J$313</f>
        <v>5.224821400785645E-05</v>
      </c>
    </row>
    <row r="271" spans="1:12" ht="38.25">
      <c r="A271" s="64"/>
      <c r="B271" s="326" t="s">
        <v>1803</v>
      </c>
      <c r="C271" s="378" t="s">
        <v>395</v>
      </c>
      <c r="D271" s="351" t="s">
        <v>1513</v>
      </c>
      <c r="E271" s="322">
        <v>2</v>
      </c>
      <c r="F271" s="319" t="s">
        <v>5</v>
      </c>
      <c r="G271" s="336">
        <f>'Composições Unitárias'!G1433</f>
        <v>4.5935334</v>
      </c>
      <c r="H271" s="336">
        <f>E271*G271</f>
        <v>9.1870668</v>
      </c>
      <c r="I271" s="336">
        <f>ROUND(H271*$I$12,2)</f>
        <v>2.48</v>
      </c>
      <c r="J271" s="336">
        <f>ROUND(SUM(H271:I271),2)</f>
        <v>11.67</v>
      </c>
      <c r="K271" s="122" t="s">
        <v>209</v>
      </c>
      <c r="L271" s="443">
        <f>H271/$J$313</f>
        <v>5.224821400785645E-05</v>
      </c>
    </row>
    <row r="272" spans="1:17" ht="12.75">
      <c r="A272" s="64"/>
      <c r="B272" s="580" t="s">
        <v>1804</v>
      </c>
      <c r="C272" s="580"/>
      <c r="D272" s="583" t="s">
        <v>1805</v>
      </c>
      <c r="E272" s="687"/>
      <c r="F272" s="687"/>
      <c r="G272" s="687"/>
      <c r="H272" s="687"/>
      <c r="I272" s="687"/>
      <c r="J272" s="688"/>
      <c r="K272" s="122"/>
      <c r="L272" s="443"/>
      <c r="Q272" s="527">
        <v>4632.041562400001</v>
      </c>
    </row>
    <row r="273" spans="1:12" ht="12.75">
      <c r="A273" s="64"/>
      <c r="B273" s="641" t="s">
        <v>1806</v>
      </c>
      <c r="C273" s="685" t="s">
        <v>399</v>
      </c>
      <c r="D273" s="324" t="s">
        <v>217</v>
      </c>
      <c r="E273" s="387">
        <v>1</v>
      </c>
      <c r="F273" s="325" t="s">
        <v>5</v>
      </c>
      <c r="G273" s="337">
        <f>'Composições Unitárias'!G1587</f>
        <v>74.0182672</v>
      </c>
      <c r="H273" s="337">
        <f>E273*G273</f>
        <v>74.0182672</v>
      </c>
      <c r="I273" s="337">
        <f>ROUND(H273*$I$12,2)</f>
        <v>19.96</v>
      </c>
      <c r="J273" s="337">
        <f>ROUND(SUM(H273:I273),2)</f>
        <v>93.98</v>
      </c>
      <c r="K273" s="122"/>
      <c r="L273" s="443"/>
    </row>
    <row r="274" spans="1:12" ht="25.5">
      <c r="A274" s="64"/>
      <c r="B274" s="326" t="s">
        <v>1807</v>
      </c>
      <c r="C274" s="691" t="s">
        <v>402</v>
      </c>
      <c r="D274" s="624" t="s">
        <v>223</v>
      </c>
      <c r="E274" s="626">
        <v>2</v>
      </c>
      <c r="F274" s="623" t="s">
        <v>66</v>
      </c>
      <c r="G274" s="367">
        <f>'Composições Unitárias'!G1671</f>
        <v>852.806002</v>
      </c>
      <c r="H274" s="367">
        <f>E274*G274</f>
        <v>1705.612004</v>
      </c>
      <c r="I274" s="367">
        <f>ROUND(H274*$I$12,2)</f>
        <v>459.83</v>
      </c>
      <c r="J274" s="367">
        <f>ROUND(SUM(H274:I274),2)</f>
        <v>2165.44</v>
      </c>
      <c r="K274" s="122"/>
      <c r="L274" s="443"/>
    </row>
    <row r="275" spans="1:12" ht="38.25">
      <c r="A275" s="64"/>
      <c r="B275" s="326" t="s">
        <v>1808</v>
      </c>
      <c r="C275" s="378" t="s">
        <v>406</v>
      </c>
      <c r="D275" s="332" t="s">
        <v>229</v>
      </c>
      <c r="E275" s="322">
        <v>1</v>
      </c>
      <c r="F275" s="319" t="s">
        <v>5</v>
      </c>
      <c r="G275" s="336">
        <f>'Composições Unitárias'!G1774</f>
        <v>224.506002</v>
      </c>
      <c r="H275" s="336">
        <f>E275*G275</f>
        <v>224.506002</v>
      </c>
      <c r="I275" s="695">
        <f>H275*$I$12</f>
        <v>60.5268181392</v>
      </c>
      <c r="J275" s="336">
        <f>SUM(H275:I275)</f>
        <v>285.0328201392</v>
      </c>
      <c r="K275" s="122"/>
      <c r="L275" s="443"/>
    </row>
    <row r="276" spans="1:12" ht="12.75">
      <c r="A276" s="64"/>
      <c r="B276" s="627"/>
      <c r="C276" s="628"/>
      <c r="D276" s="629"/>
      <c r="E276" s="630"/>
      <c r="F276" s="631"/>
      <c r="G276" s="632" t="s">
        <v>1518</v>
      </c>
      <c r="H276" s="633">
        <f>SUM(H240:H275)</f>
        <v>17630.104372670394</v>
      </c>
      <c r="I276" s="633">
        <f>ROUNDUP(SUM(I240:I275),2)</f>
        <v>4753.1</v>
      </c>
      <c r="J276" s="633">
        <f>ROUND(SUM(H276:I276),2)</f>
        <v>22383.2</v>
      </c>
      <c r="K276" s="122"/>
      <c r="L276" s="443"/>
    </row>
    <row r="277" spans="1:17" ht="12.75">
      <c r="A277" s="64"/>
      <c r="B277" s="1"/>
      <c r="E277" s="1"/>
      <c r="K277" s="126"/>
      <c r="L277" s="443"/>
      <c r="Q277" s="527">
        <v>3905.0146535040003</v>
      </c>
    </row>
    <row r="278" spans="1:12" ht="12.75">
      <c r="A278" s="64"/>
      <c r="B278" s="350" t="s">
        <v>1820</v>
      </c>
      <c r="C278" s="773" t="s">
        <v>1821</v>
      </c>
      <c r="D278" s="773"/>
      <c r="E278" s="773"/>
      <c r="F278" s="773"/>
      <c r="G278" s="773"/>
      <c r="H278" s="773"/>
      <c r="I278" s="773"/>
      <c r="J278" s="773"/>
      <c r="K278" s="126"/>
      <c r="L278" s="443"/>
    </row>
    <row r="279" spans="1:12" ht="15" customHeight="1">
      <c r="A279" s="64"/>
      <c r="B279" s="777" t="s">
        <v>1213</v>
      </c>
      <c r="C279" s="775" t="s">
        <v>1210</v>
      </c>
      <c r="D279" s="775" t="s">
        <v>26</v>
      </c>
      <c r="E279" s="775" t="s">
        <v>34</v>
      </c>
      <c r="F279" s="775" t="s">
        <v>1211</v>
      </c>
      <c r="G279" s="775" t="s">
        <v>1214</v>
      </c>
      <c r="H279" s="775" t="s">
        <v>1215</v>
      </c>
      <c r="I279" s="564" t="s">
        <v>27</v>
      </c>
      <c r="J279" s="775" t="s">
        <v>1212</v>
      </c>
      <c r="K279" s="126"/>
      <c r="L279" s="443"/>
    </row>
    <row r="280" spans="1:12" ht="12.75">
      <c r="A280" s="64"/>
      <c r="B280" s="778"/>
      <c r="C280" s="776"/>
      <c r="D280" s="776"/>
      <c r="E280" s="776"/>
      <c r="F280" s="776"/>
      <c r="G280" s="776"/>
      <c r="H280" s="776"/>
      <c r="I280" s="294">
        <v>0.2696</v>
      </c>
      <c r="J280" s="776"/>
      <c r="K280" s="126"/>
      <c r="L280" s="443"/>
    </row>
    <row r="281" spans="1:12" ht="12.75">
      <c r="A281" s="64"/>
      <c r="B281" s="569" t="s">
        <v>1456</v>
      </c>
      <c r="C281" s="693"/>
      <c r="D281" s="693" t="s">
        <v>1457</v>
      </c>
      <c r="E281" s="570"/>
      <c r="F281" s="570"/>
      <c r="G281" s="570"/>
      <c r="H281" s="570"/>
      <c r="I281" s="570"/>
      <c r="J281" s="570"/>
      <c r="K281" s="126"/>
      <c r="L281" s="443"/>
    </row>
    <row r="282" spans="1:12" ht="12.75">
      <c r="A282" s="64"/>
      <c r="B282" s="571" t="s">
        <v>1478</v>
      </c>
      <c r="C282" s="692"/>
      <c r="D282" s="692" t="s">
        <v>1479</v>
      </c>
      <c r="E282" s="570"/>
      <c r="F282" s="570"/>
      <c r="G282" s="570"/>
      <c r="H282" s="570"/>
      <c r="I282" s="570"/>
      <c r="J282" s="570"/>
      <c r="K282" s="126"/>
      <c r="L282" s="443"/>
    </row>
    <row r="283" spans="1:12" ht="12.75">
      <c r="A283" s="64"/>
      <c r="B283" s="580" t="s">
        <v>1480</v>
      </c>
      <c r="C283" s="580"/>
      <c r="D283" s="583" t="s">
        <v>1812</v>
      </c>
      <c r="E283" s="687"/>
      <c r="F283" s="687"/>
      <c r="G283" s="687"/>
      <c r="H283" s="687"/>
      <c r="I283" s="687"/>
      <c r="J283" s="688"/>
      <c r="K283" s="126"/>
      <c r="L283" s="443"/>
    </row>
    <row r="284" spans="1:17" ht="38.25">
      <c r="A284" s="64" t="str">
        <f>IF(J284&gt;0,"x","")</f>
        <v>x</v>
      </c>
      <c r="B284" s="326" t="s">
        <v>1809</v>
      </c>
      <c r="C284" s="378" t="s">
        <v>407</v>
      </c>
      <c r="D284" s="332" t="s">
        <v>230</v>
      </c>
      <c r="E284" s="322">
        <v>3</v>
      </c>
      <c r="F284" s="319" t="s">
        <v>5</v>
      </c>
      <c r="G284" s="336">
        <f>'Composições Unitárias'!G1794</f>
        <v>443.7488674</v>
      </c>
      <c r="H284" s="336">
        <f>E284*G284</f>
        <v>1331.2466021999999</v>
      </c>
      <c r="I284" s="336">
        <f>ROUND(H284*$I$12,2)</f>
        <v>358.9</v>
      </c>
      <c r="J284" s="336">
        <f>ROUND(SUM(H284:I284),2)</f>
        <v>1690.15</v>
      </c>
      <c r="K284" s="128" t="s">
        <v>206</v>
      </c>
      <c r="L284" s="443">
        <f>H284/$J$313</f>
        <v>0.0075709972380931575</v>
      </c>
      <c r="Q284" s="527">
        <v>1331.2466021999999</v>
      </c>
    </row>
    <row r="285" spans="1:12" ht="12.75">
      <c r="A285" s="64"/>
      <c r="B285" s="569" t="s">
        <v>1477</v>
      </c>
      <c r="C285" s="692"/>
      <c r="D285" s="692" t="s">
        <v>1482</v>
      </c>
      <c r="E285" s="570"/>
      <c r="F285" s="570"/>
      <c r="G285" s="570"/>
      <c r="H285" s="570"/>
      <c r="I285" s="570"/>
      <c r="J285" s="570"/>
      <c r="K285" s="125"/>
      <c r="L285" s="443"/>
    </row>
    <row r="286" spans="1:12" ht="12.75">
      <c r="A286" s="64"/>
      <c r="B286" s="580" t="s">
        <v>1481</v>
      </c>
      <c r="C286" s="580"/>
      <c r="D286" s="583" t="s">
        <v>1813</v>
      </c>
      <c r="E286" s="687"/>
      <c r="F286" s="687"/>
      <c r="G286" s="687"/>
      <c r="H286" s="687"/>
      <c r="I286" s="687"/>
      <c r="J286" s="688"/>
      <c r="K286" s="125"/>
      <c r="L286" s="443"/>
    </row>
    <row r="287" spans="1:17" ht="25.5">
      <c r="A287" s="64" t="str">
        <f>IF(J199&gt;0,"x","")</f>
        <v>x</v>
      </c>
      <c r="B287" s="326" t="s">
        <v>1810</v>
      </c>
      <c r="C287" s="186" t="s">
        <v>1121</v>
      </c>
      <c r="D287" s="302" t="s">
        <v>231</v>
      </c>
      <c r="E287" s="322">
        <v>3</v>
      </c>
      <c r="F287" s="319" t="s">
        <v>5</v>
      </c>
      <c r="G287" s="336">
        <f>'Composições Unitárias'!G1811</f>
        <v>170.261984</v>
      </c>
      <c r="H287" s="336">
        <f>E287*G287</f>
        <v>510.78595200000007</v>
      </c>
      <c r="I287" s="336">
        <f>ROUND(H287*$I$12,2)</f>
        <v>137.71</v>
      </c>
      <c r="J287" s="336">
        <f>ROUND(SUM(H287:I287),2)</f>
        <v>648.5</v>
      </c>
      <c r="K287" s="125" t="s">
        <v>206</v>
      </c>
      <c r="L287" s="443">
        <f>H199/$J$313</f>
        <v>0.008073677164687994</v>
      </c>
      <c r="Q287" s="527">
        <v>1419.6353472</v>
      </c>
    </row>
    <row r="288" spans="1:12" ht="12.75" customHeight="1">
      <c r="A288" s="64"/>
      <c r="B288" s="569" t="s">
        <v>1483</v>
      </c>
      <c r="C288" s="692"/>
      <c r="D288" s="692" t="s">
        <v>1484</v>
      </c>
      <c r="E288" s="570"/>
      <c r="F288" s="570"/>
      <c r="G288" s="570"/>
      <c r="H288" s="570"/>
      <c r="I288" s="570"/>
      <c r="J288" s="570"/>
      <c r="K288" s="125"/>
      <c r="L288" s="443"/>
    </row>
    <row r="289" spans="1:12" ht="12.75">
      <c r="A289" s="64"/>
      <c r="B289" s="580" t="s">
        <v>1485</v>
      </c>
      <c r="C289" s="580"/>
      <c r="D289" s="583" t="s">
        <v>1814</v>
      </c>
      <c r="E289" s="687"/>
      <c r="F289" s="687"/>
      <c r="G289" s="687"/>
      <c r="H289" s="687"/>
      <c r="I289" s="687"/>
      <c r="J289" s="688"/>
      <c r="K289" s="125"/>
      <c r="L289" s="443"/>
    </row>
    <row r="290" spans="1:12" ht="38.25">
      <c r="A290" s="64"/>
      <c r="B290" s="377" t="s">
        <v>1811</v>
      </c>
      <c r="C290" s="133" t="s">
        <v>1252</v>
      </c>
      <c r="D290" s="304" t="s">
        <v>1251</v>
      </c>
      <c r="E290" s="322">
        <v>3</v>
      </c>
      <c r="F290" s="319" t="s">
        <v>5</v>
      </c>
      <c r="G290" s="336">
        <f>'Composições Unitárias'!G1850</f>
        <v>234.681984</v>
      </c>
      <c r="H290" s="336">
        <f>E290*G290</f>
        <v>704.0459519999999</v>
      </c>
      <c r="I290" s="336">
        <f>ROUND(H290*$I$12,2)</f>
        <v>189.81</v>
      </c>
      <c r="J290" s="336">
        <f>ROUND(SUM(H290:I290),2)</f>
        <v>893.86</v>
      </c>
      <c r="K290" s="125" t="s">
        <v>206</v>
      </c>
      <c r="L290" s="443">
        <f>H290/$J$313</f>
        <v>0.004004013943978401</v>
      </c>
    </row>
    <row r="291" spans="1:12" ht="12.75">
      <c r="A291" s="64"/>
      <c r="B291" s="380"/>
      <c r="C291" s="381"/>
      <c r="D291" s="382"/>
      <c r="E291" s="383"/>
      <c r="F291" s="384"/>
      <c r="G291" s="385" t="s">
        <v>1486</v>
      </c>
      <c r="H291" s="386">
        <f>SUM(H284:H290)</f>
        <v>2546.0785062</v>
      </c>
      <c r="I291" s="386">
        <f>SUM(I284:I290)</f>
        <v>686.4200000000001</v>
      </c>
      <c r="J291" s="386">
        <f>ROUND(SUM(H291:I291),2)</f>
        <v>3232.5</v>
      </c>
      <c r="K291" s="572"/>
      <c r="L291" s="443"/>
    </row>
    <row r="292" spans="1:12" ht="12.75">
      <c r="A292" s="64"/>
      <c r="B292" s="1"/>
      <c r="E292" s="1"/>
      <c r="K292" s="125"/>
      <c r="L292" s="443"/>
    </row>
    <row r="293" spans="1:12" ht="12.75">
      <c r="A293" s="64"/>
      <c r="B293" s="350" t="s">
        <v>1475</v>
      </c>
      <c r="C293" s="773" t="s">
        <v>1472</v>
      </c>
      <c r="D293" s="773"/>
      <c r="E293" s="773"/>
      <c r="F293" s="773"/>
      <c r="G293" s="773"/>
      <c r="H293" s="773"/>
      <c r="I293" s="773"/>
      <c r="J293" s="773"/>
      <c r="K293" s="125"/>
      <c r="L293" s="443"/>
    </row>
    <row r="294" spans="1:12" ht="15" customHeight="1">
      <c r="A294" s="64"/>
      <c r="B294" s="777" t="s">
        <v>1213</v>
      </c>
      <c r="C294" s="775" t="s">
        <v>1210</v>
      </c>
      <c r="D294" s="775" t="s">
        <v>26</v>
      </c>
      <c r="E294" s="775" t="s">
        <v>34</v>
      </c>
      <c r="F294" s="775" t="s">
        <v>1211</v>
      </c>
      <c r="G294" s="775" t="s">
        <v>1214</v>
      </c>
      <c r="H294" s="775" t="s">
        <v>1215</v>
      </c>
      <c r="I294" s="564" t="s">
        <v>27</v>
      </c>
      <c r="J294" s="775" t="s">
        <v>1212</v>
      </c>
      <c r="K294" s="125"/>
      <c r="L294" s="443"/>
    </row>
    <row r="295" spans="1:12" ht="12.75">
      <c r="A295" s="64"/>
      <c r="B295" s="778"/>
      <c r="C295" s="776"/>
      <c r="D295" s="776"/>
      <c r="E295" s="776"/>
      <c r="F295" s="776"/>
      <c r="G295" s="776"/>
      <c r="H295" s="776"/>
      <c r="I295" s="294">
        <v>0.2696</v>
      </c>
      <c r="J295" s="776"/>
      <c r="K295" s="125"/>
      <c r="L295" s="443">
        <f>H295/$J$313</f>
        <v>0</v>
      </c>
    </row>
    <row r="296" spans="1:12" ht="12.75">
      <c r="A296" s="64"/>
      <c r="B296" s="580" t="s">
        <v>1462</v>
      </c>
      <c r="C296" s="580"/>
      <c r="D296" s="583" t="s">
        <v>1816</v>
      </c>
      <c r="E296" s="687"/>
      <c r="F296" s="687"/>
      <c r="G296" s="687"/>
      <c r="H296" s="687"/>
      <c r="I296" s="687"/>
      <c r="J296" s="688"/>
      <c r="K296" s="125"/>
      <c r="L296" s="443"/>
    </row>
    <row r="297" spans="1:17" ht="12.75">
      <c r="A297" s="64" t="str">
        <f>IF(J297&gt;0,"x","")</f>
        <v>x</v>
      </c>
      <c r="B297" s="353" t="s">
        <v>1815</v>
      </c>
      <c r="C297" s="349" t="s">
        <v>358</v>
      </c>
      <c r="D297" s="379" t="s">
        <v>270</v>
      </c>
      <c r="E297" s="354">
        <v>1</v>
      </c>
      <c r="F297" s="319" t="s">
        <v>1435</v>
      </c>
      <c r="G297" s="336">
        <f>'Composições Unitárias'!G3004*62</f>
        <v>214.446592</v>
      </c>
      <c r="H297" s="336">
        <f>E297*G297</f>
        <v>214.446592</v>
      </c>
      <c r="I297" s="336">
        <f>ROUND(H297*$I$12,2)</f>
        <v>57.81</v>
      </c>
      <c r="J297" s="336">
        <f>ROUND(SUM(H297:I297),2)</f>
        <v>272.26</v>
      </c>
      <c r="K297" s="129" t="s">
        <v>119</v>
      </c>
      <c r="L297" s="443">
        <f>H297/$J$313</f>
        <v>0.0012195896335565426</v>
      </c>
      <c r="Q297" s="527">
        <v>214.446592</v>
      </c>
    </row>
    <row r="298" spans="1:12" ht="12.75">
      <c r="A298" s="64"/>
      <c r="B298" s="353" t="s">
        <v>1817</v>
      </c>
      <c r="C298" s="320" t="s">
        <v>295</v>
      </c>
      <c r="D298" s="321" t="s">
        <v>169</v>
      </c>
      <c r="E298" s="322">
        <v>1</v>
      </c>
      <c r="F298" s="319" t="s">
        <v>1435</v>
      </c>
      <c r="G298" s="336">
        <f>'Composições Unitárias'!G810*18.6</f>
        <v>44.42884164000001</v>
      </c>
      <c r="H298" s="336">
        <f>E298*G298</f>
        <v>44.42884164000001</v>
      </c>
      <c r="I298" s="336">
        <f>ROUND(H298*$I$12,2)</f>
        <v>11.98</v>
      </c>
      <c r="J298" s="336">
        <f>ROUND(SUM(H298:I298),2)</f>
        <v>56.41</v>
      </c>
      <c r="K298" s="559" t="s">
        <v>118</v>
      </c>
      <c r="L298" s="634">
        <f>H298/$J$313</f>
        <v>0.00025267342413662266</v>
      </c>
    </row>
    <row r="299" spans="1:12" ht="12.75">
      <c r="A299" s="64"/>
      <c r="B299" s="580" t="s">
        <v>1463</v>
      </c>
      <c r="C299" s="580"/>
      <c r="D299" s="583" t="s">
        <v>1818</v>
      </c>
      <c r="E299" s="687"/>
      <c r="F299" s="687"/>
      <c r="G299" s="687"/>
      <c r="H299" s="687"/>
      <c r="I299" s="687"/>
      <c r="J299" s="688"/>
      <c r="K299" s="559"/>
      <c r="L299" s="634"/>
    </row>
    <row r="300" spans="1:17" ht="12.75">
      <c r="A300" s="64" t="str">
        <f>IF(J300&gt;0,"x","")</f>
        <v>x</v>
      </c>
      <c r="B300" s="310" t="s">
        <v>1819</v>
      </c>
      <c r="C300" s="186" t="s">
        <v>415</v>
      </c>
      <c r="D300" s="302" t="s">
        <v>271</v>
      </c>
      <c r="E300" s="317">
        <v>1</v>
      </c>
      <c r="F300" s="308" t="s">
        <v>1435</v>
      </c>
      <c r="G300" s="338">
        <f>'Composições Unitárias'!G3020*62</f>
        <v>288.145992</v>
      </c>
      <c r="H300" s="338">
        <f>E300*G300+0.004</f>
        <v>288.149992</v>
      </c>
      <c r="I300" s="338">
        <f>ROUND(H300*$I$12,2)</f>
        <v>77.69</v>
      </c>
      <c r="J300" s="338">
        <f>ROUND(SUM(H300:I300),2)</f>
        <v>365.84</v>
      </c>
      <c r="K300" s="116" t="s">
        <v>119</v>
      </c>
      <c r="L300" s="443">
        <f>H300/$J$313</f>
        <v>0.0016387518210249788</v>
      </c>
      <c r="Q300" s="527">
        <v>288.149992</v>
      </c>
    </row>
    <row r="301" spans="1:17" ht="12.75">
      <c r="A301" s="64"/>
      <c r="B301" s="380"/>
      <c r="C301" s="381"/>
      <c r="D301" s="382"/>
      <c r="E301" s="383"/>
      <c r="F301" s="384"/>
      <c r="G301" s="385" t="s">
        <v>1474</v>
      </c>
      <c r="H301" s="386">
        <f>ROUND(SUM(H297:H300),2)</f>
        <v>547.03</v>
      </c>
      <c r="I301" s="386">
        <f>SUM(I297:I300)</f>
        <v>147.48000000000002</v>
      </c>
      <c r="J301" s="386">
        <f>ROUND(SUM(H301:I301),2)</f>
        <v>694.51</v>
      </c>
      <c r="K301" s="116"/>
      <c r="L301" s="443"/>
      <c r="Q301" s="527">
        <v>502.6</v>
      </c>
    </row>
    <row r="302" spans="1:12" ht="12.75">
      <c r="A302" s="64"/>
      <c r="K302" s="116"/>
      <c r="L302" s="443"/>
    </row>
    <row r="303" spans="1:16" ht="12.75">
      <c r="A303" s="64"/>
      <c r="B303" s="318" t="s">
        <v>1438</v>
      </c>
      <c r="C303" s="773" t="s">
        <v>1439</v>
      </c>
      <c r="D303" s="773"/>
      <c r="E303" s="773"/>
      <c r="F303" s="773"/>
      <c r="G303" s="773"/>
      <c r="H303" s="773"/>
      <c r="I303" s="773"/>
      <c r="J303" s="773"/>
      <c r="K303" s="118"/>
      <c r="L303" s="443"/>
      <c r="P303" s="527"/>
    </row>
    <row r="304" spans="1:16" ht="12.75">
      <c r="A304" s="64"/>
      <c r="B304" s="774" t="s">
        <v>1213</v>
      </c>
      <c r="C304" s="775" t="s">
        <v>1210</v>
      </c>
      <c r="D304" s="775" t="s">
        <v>26</v>
      </c>
      <c r="E304" s="775" t="s">
        <v>34</v>
      </c>
      <c r="F304" s="775" t="s">
        <v>1211</v>
      </c>
      <c r="G304" s="775" t="s">
        <v>1214</v>
      </c>
      <c r="H304" s="775" t="s">
        <v>1215</v>
      </c>
      <c r="I304" s="564" t="s">
        <v>27</v>
      </c>
      <c r="J304" s="775" t="s">
        <v>1212</v>
      </c>
      <c r="K304" s="118"/>
      <c r="L304" s="443"/>
      <c r="P304" s="527"/>
    </row>
    <row r="305" spans="1:16" ht="12.75">
      <c r="A305" s="64"/>
      <c r="B305" s="774"/>
      <c r="C305" s="776"/>
      <c r="D305" s="776"/>
      <c r="E305" s="776"/>
      <c r="F305" s="776"/>
      <c r="G305" s="776"/>
      <c r="H305" s="776"/>
      <c r="I305" s="294">
        <v>0.2696</v>
      </c>
      <c r="J305" s="776"/>
      <c r="K305" s="118"/>
      <c r="L305" s="443"/>
      <c r="P305" s="527"/>
    </row>
    <row r="306" spans="1:16" ht="12.75">
      <c r="A306" s="64"/>
      <c r="B306" s="571" t="s">
        <v>1464</v>
      </c>
      <c r="C306" s="779" t="s">
        <v>1465</v>
      </c>
      <c r="D306" s="779"/>
      <c r="E306" s="570"/>
      <c r="F306" s="570"/>
      <c r="G306" s="570"/>
      <c r="H306" s="570"/>
      <c r="I306" s="570"/>
      <c r="J306" s="570"/>
      <c r="K306" s="118"/>
      <c r="L306" s="443"/>
      <c r="P306" s="527"/>
    </row>
    <row r="307" spans="1:16" ht="12.75">
      <c r="A307" s="64"/>
      <c r="B307" s="569" t="s">
        <v>1466</v>
      </c>
      <c r="C307" s="779" t="s">
        <v>1467</v>
      </c>
      <c r="D307" s="779"/>
      <c r="E307" s="570"/>
      <c r="F307" s="570"/>
      <c r="G307" s="570"/>
      <c r="H307" s="570"/>
      <c r="I307" s="570"/>
      <c r="J307" s="570"/>
      <c r="K307" s="118"/>
      <c r="L307" s="443"/>
      <c r="P307" s="527"/>
    </row>
    <row r="308" spans="1:16" ht="12.75">
      <c r="A308" s="64"/>
      <c r="B308" s="326" t="s">
        <v>1469</v>
      </c>
      <c r="C308" s="332" t="s">
        <v>1188</v>
      </c>
      <c r="D308" s="334" t="s">
        <v>121</v>
      </c>
      <c r="E308" s="478">
        <v>2</v>
      </c>
      <c r="F308" s="319" t="s">
        <v>1187</v>
      </c>
      <c r="G308" s="336">
        <f>'Composições Unitárias'!G161</f>
        <v>5434.7105</v>
      </c>
      <c r="H308" s="336">
        <f>E308*G308</f>
        <v>10869.421</v>
      </c>
      <c r="I308" s="336">
        <f>ROUND(H308*$I$12,2)</f>
        <v>2930.4</v>
      </c>
      <c r="J308" s="336">
        <f>ROUND(SUM(H308:I308),2)</f>
        <v>13799.82</v>
      </c>
      <c r="K308" s="119" t="s">
        <v>117</v>
      </c>
      <c r="L308" s="443">
        <f>H308/$J$313</f>
        <v>0.06181601232609837</v>
      </c>
      <c r="P308" s="527"/>
    </row>
    <row r="309" spans="1:16" ht="12.75">
      <c r="A309" s="64"/>
      <c r="B309" s="569" t="s">
        <v>1470</v>
      </c>
      <c r="C309" s="779" t="s">
        <v>1471</v>
      </c>
      <c r="D309" s="779"/>
      <c r="E309" s="570"/>
      <c r="F309" s="570"/>
      <c r="G309" s="570"/>
      <c r="H309" s="570"/>
      <c r="I309" s="570"/>
      <c r="J309" s="570"/>
      <c r="K309" s="118"/>
      <c r="L309" s="443"/>
      <c r="P309" s="527"/>
    </row>
    <row r="310" spans="1:16" ht="12.75">
      <c r="A310" s="64"/>
      <c r="B310" s="331" t="s">
        <v>1468</v>
      </c>
      <c r="C310" s="332" t="s">
        <v>1473</v>
      </c>
      <c r="D310" s="332" t="s">
        <v>120</v>
      </c>
      <c r="E310" s="333">
        <v>0.45</v>
      </c>
      <c r="F310" s="319" t="s">
        <v>1187</v>
      </c>
      <c r="G310" s="336">
        <v>8532.95</v>
      </c>
      <c r="H310" s="336">
        <f>E310*G310</f>
        <v>3839.8275000000003</v>
      </c>
      <c r="I310" s="336">
        <f>ROUND(H310*$I$12,2)</f>
        <v>1035.22</v>
      </c>
      <c r="J310" s="336">
        <f>ROUND(SUM(H310:I310),2)</f>
        <v>4875.05</v>
      </c>
      <c r="K310" s="114" t="s">
        <v>117</v>
      </c>
      <c r="L310" s="443">
        <f>H310/$J$313</f>
        <v>0.021837669556648096</v>
      </c>
      <c r="P310" s="527"/>
    </row>
    <row r="311" spans="1:16" ht="12.75">
      <c r="A311" s="64"/>
      <c r="B311" s="380"/>
      <c r="C311" s="381"/>
      <c r="D311" s="382"/>
      <c r="E311" s="383"/>
      <c r="F311" s="384"/>
      <c r="G311" s="385" t="s">
        <v>1476</v>
      </c>
      <c r="H311" s="386">
        <f>ROUND(SUM(H308:H310),2)</f>
        <v>14709.25</v>
      </c>
      <c r="I311" s="386">
        <f>SUM(I308:I310)</f>
        <v>3965.62</v>
      </c>
      <c r="J311" s="386">
        <f>ROUND(SUM(H311:I311),2)</f>
        <v>18674.87</v>
      </c>
      <c r="K311" s="302"/>
      <c r="L311" s="443"/>
      <c r="P311" s="527"/>
    </row>
    <row r="312" spans="1:16" ht="12.75">
      <c r="A312" s="64"/>
      <c r="B312" s="308"/>
      <c r="C312" s="301"/>
      <c r="D312" s="300"/>
      <c r="E312" s="313"/>
      <c r="F312" s="358"/>
      <c r="G312" s="359"/>
      <c r="H312" s="360"/>
      <c r="I312" s="360"/>
      <c r="J312" s="360"/>
      <c r="K312" s="302"/>
      <c r="L312" s="443"/>
      <c r="P312" s="527"/>
    </row>
    <row r="313" spans="1:16" ht="12.75">
      <c r="A313" s="64"/>
      <c r="B313" s="319"/>
      <c r="C313" s="320"/>
      <c r="D313" s="321"/>
      <c r="E313" s="322"/>
      <c r="F313" s="355"/>
      <c r="G313" s="781" t="s">
        <v>1216</v>
      </c>
      <c r="H313" s="781"/>
      <c r="I313" s="781"/>
      <c r="J313" s="356">
        <f>ROUNDDOWN(SUM(H311+H301+H291+H276+H233+H106+H52),2)</f>
        <v>175835.04</v>
      </c>
      <c r="K313" s="302"/>
      <c r="L313" s="443"/>
      <c r="P313" s="527"/>
    </row>
    <row r="314" spans="1:16" ht="12.75">
      <c r="A314" s="64"/>
      <c r="B314" s="308"/>
      <c r="C314" s="301"/>
      <c r="D314" s="300"/>
      <c r="E314" s="313"/>
      <c r="F314" s="358"/>
      <c r="G314" s="361"/>
      <c r="H314" s="362"/>
      <c r="I314" s="362"/>
      <c r="J314" s="360"/>
      <c r="K314" s="302"/>
      <c r="L314" s="443"/>
      <c r="P314" s="527"/>
    </row>
    <row r="315" spans="1:16" ht="12.75">
      <c r="A315" s="64"/>
      <c r="B315" s="319"/>
      <c r="C315" s="320"/>
      <c r="D315" s="321"/>
      <c r="E315" s="322"/>
      <c r="F315" s="355"/>
      <c r="G315" s="781" t="s">
        <v>27</v>
      </c>
      <c r="H315" s="781"/>
      <c r="I315" s="781"/>
      <c r="J315" s="356">
        <f>I311+I301+I291+I276+I233+I106+I52</f>
        <v>47405.15991783422</v>
      </c>
      <c r="K315" s="302"/>
      <c r="L315" s="443"/>
      <c r="P315" s="527"/>
    </row>
    <row r="316" spans="1:16" ht="12.75">
      <c r="A316" s="64"/>
      <c r="B316" s="308"/>
      <c r="C316" s="301"/>
      <c r="D316" s="300"/>
      <c r="E316" s="313"/>
      <c r="F316" s="358"/>
      <c r="G316" s="361"/>
      <c r="H316" s="362"/>
      <c r="I316" s="362"/>
      <c r="J316" s="360"/>
      <c r="K316" s="302"/>
      <c r="L316" s="443"/>
      <c r="P316" s="527"/>
    </row>
    <row r="317" spans="1:16" ht="12.75">
      <c r="A317" s="64"/>
      <c r="B317" s="319"/>
      <c r="C317" s="320"/>
      <c r="D317" s="321"/>
      <c r="E317" s="322"/>
      <c r="F317" s="781" t="s">
        <v>1217</v>
      </c>
      <c r="G317" s="781"/>
      <c r="H317" s="781"/>
      <c r="I317" s="781"/>
      <c r="J317" s="356">
        <f>ROUNDUP(SUM(J313:J315),2)</f>
        <v>223240.2</v>
      </c>
      <c r="K317" s="302"/>
      <c r="L317" s="443"/>
      <c r="P317" s="527"/>
    </row>
    <row r="318" spans="1:12" ht="12.75">
      <c r="A318" s="1" t="e">
        <f>IF(#REF!&gt;0,"x","")</f>
        <v>#REF!</v>
      </c>
      <c r="B318" s="311"/>
      <c r="C318" s="5"/>
      <c r="D318" s="2"/>
      <c r="E318" s="102"/>
      <c r="F318" s="2"/>
      <c r="G318" s="2"/>
      <c r="H318" s="286"/>
      <c r="I318" s="286"/>
      <c r="J318" s="286"/>
      <c r="K318" s="302"/>
      <c r="L318" s="443"/>
    </row>
    <row r="319" spans="1:12" ht="12.75">
      <c r="A319" s="1" t="e">
        <f>IF(#REF!&gt;0,"x","")</f>
        <v>#REF!</v>
      </c>
      <c r="B319" s="522" t="s">
        <v>1352</v>
      </c>
      <c r="C319" s="244"/>
      <c r="D319" s="137"/>
      <c r="E319" s="137"/>
      <c r="F319" s="137"/>
      <c r="G319" s="137"/>
      <c r="J319" s="137"/>
      <c r="K319" s="302"/>
      <c r="L319" s="443"/>
    </row>
    <row r="320" spans="1:17" s="3" customFormat="1" ht="25.5" customHeight="1">
      <c r="A320" s="1" t="e">
        <f>IF(#REF!&gt;0,"x","")</f>
        <v>#REF!</v>
      </c>
      <c r="B320" s="523" t="s">
        <v>3</v>
      </c>
      <c r="C320" s="142"/>
      <c r="D320" s="142"/>
      <c r="E320" s="746" t="s">
        <v>364</v>
      </c>
      <c r="F320" s="748"/>
      <c r="G320" s="749" t="s">
        <v>365</v>
      </c>
      <c r="H320" s="751"/>
      <c r="I320" s="187" t="s">
        <v>364</v>
      </c>
      <c r="J320" s="187"/>
      <c r="K320" s="302"/>
      <c r="M320" s="1"/>
      <c r="N320" s="1"/>
      <c r="O320" s="1"/>
      <c r="P320" s="1"/>
      <c r="Q320" s="527"/>
    </row>
    <row r="321" spans="1:17" s="3" customFormat="1" ht="12.75">
      <c r="A321" s="1" t="e">
        <f>IF(#REF!&gt;0,"x","")</f>
        <v>#REF!</v>
      </c>
      <c r="B321" s="782" t="s">
        <v>366</v>
      </c>
      <c r="C321" s="782"/>
      <c r="D321" s="782"/>
      <c r="E321" s="146"/>
      <c r="F321" s="145"/>
      <c r="G321" s="156"/>
      <c r="H321" s="156"/>
      <c r="I321" s="147"/>
      <c r="J321" s="363"/>
      <c r="K321" s="302"/>
      <c r="M321" s="1"/>
      <c r="N321" s="1"/>
      <c r="O321" s="1"/>
      <c r="P321" s="1"/>
      <c r="Q321" s="527"/>
    </row>
    <row r="322" spans="1:17" s="3" customFormat="1" ht="12.75">
      <c r="A322" s="1" t="e">
        <f>IF(#REF!&gt;0,"x","")</f>
        <v>#REF!</v>
      </c>
      <c r="B322" s="312"/>
      <c r="C322" s="515"/>
      <c r="D322" s="515"/>
      <c r="E322" s="158"/>
      <c r="F322" s="157"/>
      <c r="G322" s="156"/>
      <c r="H322" s="156"/>
      <c r="I322" s="159"/>
      <c r="J322" s="364"/>
      <c r="K322" s="302"/>
      <c r="M322" s="1"/>
      <c r="N322" s="1"/>
      <c r="O322" s="1"/>
      <c r="P322" s="1"/>
      <c r="Q322" s="527"/>
    </row>
    <row r="323" spans="1:17" s="3" customFormat="1" ht="12.75">
      <c r="A323" s="1" t="e">
        <f>IF(#REF!&gt;0,"x","")</f>
        <v>#REF!</v>
      </c>
      <c r="B323" s="780" t="s">
        <v>367</v>
      </c>
      <c r="C323" s="780"/>
      <c r="D323" s="780"/>
      <c r="E323" s="151"/>
      <c r="F323" s="150"/>
      <c r="G323" s="156"/>
      <c r="H323" s="156"/>
      <c r="I323" s="152"/>
      <c r="J323" s="365"/>
      <c r="K323" s="302"/>
      <c r="M323" s="1"/>
      <c r="N323" s="1"/>
      <c r="O323" s="1"/>
      <c r="P323" s="1"/>
      <c r="Q323" s="527"/>
    </row>
    <row r="324" spans="1:17" s="3" customFormat="1" ht="12.75">
      <c r="A324" s="1" t="e">
        <f>IF(#REF!&gt;0,"x","")</f>
        <v>#REF!</v>
      </c>
      <c r="B324" s="311"/>
      <c r="C324" s="5"/>
      <c r="D324" s="2"/>
      <c r="E324" s="102"/>
      <c r="F324" s="2"/>
      <c r="G324" s="2"/>
      <c r="H324" s="2"/>
      <c r="I324" s="2"/>
      <c r="J324" s="2"/>
      <c r="K324" s="302"/>
      <c r="M324" s="1"/>
      <c r="N324" s="1"/>
      <c r="O324" s="1"/>
      <c r="P324" s="1"/>
      <c r="Q324" s="527"/>
    </row>
    <row r="325" spans="5:12" ht="12.75">
      <c r="E325" s="1"/>
      <c r="L325" s="1"/>
    </row>
    <row r="326" spans="5:12" ht="12.75">
      <c r="E326" s="1"/>
      <c r="L326" s="1"/>
    </row>
    <row r="327" spans="5:12" ht="12.75">
      <c r="E327" s="1"/>
      <c r="L327" s="1"/>
    </row>
    <row r="328" spans="5:12" ht="12.75">
      <c r="E328" s="1"/>
      <c r="L328" s="1"/>
    </row>
    <row r="329" spans="5:12" ht="12.75">
      <c r="E329" s="1"/>
      <c r="L329" s="1"/>
    </row>
    <row r="330" spans="5:12" ht="12.75">
      <c r="E330" s="1"/>
      <c r="L330" s="1"/>
    </row>
    <row r="331" spans="5:12" ht="12.75">
      <c r="E331" s="1"/>
      <c r="L331" s="443"/>
    </row>
    <row r="332" spans="5:12" ht="12.75">
      <c r="E332" s="1"/>
      <c r="L332" s="1"/>
    </row>
    <row r="333" spans="5:12" ht="12.75">
      <c r="E333" s="1"/>
      <c r="L333" s="1"/>
    </row>
  </sheetData>
  <sheetProtection/>
  <autoFilter ref="A12:J324"/>
  <mergeCells count="75">
    <mergeCell ref="B323:D323"/>
    <mergeCell ref="G313:I313"/>
    <mergeCell ref="G315:I315"/>
    <mergeCell ref="F317:I317"/>
    <mergeCell ref="E320:F320"/>
    <mergeCell ref="G320:H320"/>
    <mergeCell ref="B321:D321"/>
    <mergeCell ref="B294:B295"/>
    <mergeCell ref="C294:C295"/>
    <mergeCell ref="D294:D295"/>
    <mergeCell ref="E294:E295"/>
    <mergeCell ref="F294:F295"/>
    <mergeCell ref="G294:G295"/>
    <mergeCell ref="J279:J280"/>
    <mergeCell ref="C108:J108"/>
    <mergeCell ref="B109:B110"/>
    <mergeCell ref="C109:C110"/>
    <mergeCell ref="D109:D110"/>
    <mergeCell ref="E109:E110"/>
    <mergeCell ref="F109:F110"/>
    <mergeCell ref="G109:G110"/>
    <mergeCell ref="H109:H110"/>
    <mergeCell ref="J109:J110"/>
    <mergeCell ref="H236:H237"/>
    <mergeCell ref="J236:J237"/>
    <mergeCell ref="C278:J278"/>
    <mergeCell ref="B279:B280"/>
    <mergeCell ref="C279:C280"/>
    <mergeCell ref="D279:D280"/>
    <mergeCell ref="E279:E280"/>
    <mergeCell ref="F279:F280"/>
    <mergeCell ref="G279:G280"/>
    <mergeCell ref="H279:H280"/>
    <mergeCell ref="B236:B237"/>
    <mergeCell ref="C236:C237"/>
    <mergeCell ref="D236:D237"/>
    <mergeCell ref="E236:E237"/>
    <mergeCell ref="F236:F237"/>
    <mergeCell ref="G236:G237"/>
    <mergeCell ref="H55:H56"/>
    <mergeCell ref="J55:J56"/>
    <mergeCell ref="C306:D306"/>
    <mergeCell ref="C307:D307"/>
    <mergeCell ref="C309:D309"/>
    <mergeCell ref="C293:J293"/>
    <mergeCell ref="H294:H295"/>
    <mergeCell ref="J294:J295"/>
    <mergeCell ref="J304:J305"/>
    <mergeCell ref="C235:J235"/>
    <mergeCell ref="B55:B56"/>
    <mergeCell ref="C55:C56"/>
    <mergeCell ref="D55:D56"/>
    <mergeCell ref="E55:E56"/>
    <mergeCell ref="F55:F56"/>
    <mergeCell ref="G55:G56"/>
    <mergeCell ref="J11:J12"/>
    <mergeCell ref="C303:J303"/>
    <mergeCell ref="B304:B305"/>
    <mergeCell ref="C304:C305"/>
    <mergeCell ref="D304:D305"/>
    <mergeCell ref="E304:E305"/>
    <mergeCell ref="F304:F305"/>
    <mergeCell ref="G304:G305"/>
    <mergeCell ref="H304:H305"/>
    <mergeCell ref="C54:J54"/>
    <mergeCell ref="F1:J1"/>
    <mergeCell ref="B9:J9"/>
    <mergeCell ref="C10:J10"/>
    <mergeCell ref="B11:B12"/>
    <mergeCell ref="C11:C12"/>
    <mergeCell ref="D11:D12"/>
    <mergeCell ref="E11:E12"/>
    <mergeCell ref="F11:F12"/>
    <mergeCell ref="G11:G12"/>
    <mergeCell ref="H11:H12"/>
  </mergeCells>
  <printOptions horizontalCentered="1"/>
  <pageMargins left="0.3937007874015748" right="0.3937007874015748" top="0.5905511811023623" bottom="0.3937007874015748" header="0.1968503937007874" footer="0.1968503937007874"/>
  <pageSetup fitToHeight="0" fitToWidth="1" horizontalDpi="600" verticalDpi="600" orientation="landscape" paperSize="9" scale="63" r:id="rId2"/>
  <headerFooter>
    <oddHeader>&amp;L&amp;G</oddHeader>
    <oddFooter>&amp;L&amp;"-,Regular"&amp;A&amp;R&amp;"-,Regular"Página &amp;P de &amp;N</oddFooter>
  </headerFooter>
  <rowBreaks count="3" manualBreakCount="3">
    <brk id="53" min="1" max="9" man="1"/>
    <brk id="95" min="1" max="9" man="1"/>
    <brk id="284" min="1" max="9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57"/>
  <sheetViews>
    <sheetView showGridLines="0" view="pageBreakPreview" zoomScale="70" zoomScaleNormal="60" zoomScaleSheetLayoutView="70" zoomScalePageLayoutView="0" workbookViewId="0" topLeftCell="A849">
      <selection activeCell="J867" sqref="J867"/>
    </sheetView>
  </sheetViews>
  <sheetFormatPr defaultColWidth="9.33203125" defaultRowHeight="12.75"/>
  <cols>
    <col min="1" max="1" width="24.16015625" style="168" customWidth="1"/>
    <col min="2" max="2" width="47" style="168" customWidth="1"/>
    <col min="3" max="3" width="12.16015625" style="168" bestFit="1" customWidth="1"/>
    <col min="4" max="4" width="13.66015625" style="168" bestFit="1" customWidth="1"/>
    <col min="5" max="5" width="15.16015625" style="462" bestFit="1" customWidth="1"/>
    <col min="6" max="6" width="16.33203125" style="463" bestFit="1" customWidth="1"/>
    <col min="7" max="7" width="27.16015625" style="463" customWidth="1"/>
    <col min="8" max="8" width="36.5" style="168" customWidth="1"/>
    <col min="9" max="9" width="9.33203125" style="168" customWidth="1"/>
    <col min="10" max="10" width="16" style="168" customWidth="1"/>
    <col min="11" max="13" width="9.33203125" style="168" customWidth="1"/>
    <col min="14" max="14" width="14" style="168" bestFit="1" customWidth="1"/>
    <col min="15" max="16384" width="9.33203125" style="168" customWidth="1"/>
  </cols>
  <sheetData>
    <row r="1" spans="2:7" ht="12.75">
      <c r="B1" s="135"/>
      <c r="C1" s="842" t="s">
        <v>273</v>
      </c>
      <c r="D1" s="842"/>
      <c r="E1" s="842"/>
      <c r="F1" s="842"/>
      <c r="G1" s="842"/>
    </row>
    <row r="2" spans="1:7" ht="12.75" customHeight="1">
      <c r="A2" s="479"/>
      <c r="B2" s="479"/>
      <c r="C2" s="769" t="s">
        <v>274</v>
      </c>
      <c r="D2" s="769"/>
      <c r="E2" s="769"/>
      <c r="F2" s="755" t="s">
        <v>275</v>
      </c>
      <c r="G2" s="755"/>
    </row>
    <row r="3" spans="1:7" s="253" customFormat="1" ht="12.75" customHeight="1">
      <c r="A3" s="480"/>
      <c r="B3" s="480"/>
      <c r="C3" s="758" t="s">
        <v>276</v>
      </c>
      <c r="D3" s="758"/>
      <c r="E3" s="758"/>
      <c r="F3" s="733" t="s">
        <v>277</v>
      </c>
      <c r="G3" s="733"/>
    </row>
    <row r="4" spans="1:7" s="253" customFormat="1" ht="12.75" customHeight="1">
      <c r="A4" s="480"/>
      <c r="B4" s="480"/>
      <c r="C4" s="758" t="s">
        <v>278</v>
      </c>
      <c r="D4" s="758"/>
      <c r="E4" s="758"/>
      <c r="F4" s="756" t="s">
        <v>279</v>
      </c>
      <c r="G4" s="756"/>
    </row>
    <row r="5" spans="1:7" s="253" customFormat="1" ht="12.75">
      <c r="A5" s="480"/>
      <c r="B5" s="480"/>
      <c r="C5" s="758" t="s">
        <v>54</v>
      </c>
      <c r="D5" s="758"/>
      <c r="E5" s="758"/>
      <c r="F5" s="757">
        <v>43245</v>
      </c>
      <c r="G5" s="757"/>
    </row>
    <row r="6" spans="1:7" s="253" customFormat="1" ht="12.75">
      <c r="A6" s="480"/>
      <c r="B6" s="480"/>
      <c r="C6" s="758" t="s">
        <v>280</v>
      </c>
      <c r="D6" s="758"/>
      <c r="E6" s="758"/>
      <c r="F6" s="733" t="s">
        <v>1832</v>
      </c>
      <c r="G6" s="733"/>
    </row>
    <row r="7" spans="1:7" s="253" customFormat="1" ht="12.75" customHeight="1">
      <c r="A7" s="480"/>
      <c r="B7" s="480"/>
      <c r="C7" s="758" t="s">
        <v>281</v>
      </c>
      <c r="D7" s="758"/>
      <c r="E7" s="758"/>
      <c r="F7" s="733" t="s">
        <v>1134</v>
      </c>
      <c r="G7" s="733"/>
    </row>
    <row r="8" spans="1:7" s="253" customFormat="1" ht="6" customHeight="1">
      <c r="A8" s="481"/>
      <c r="B8" s="482"/>
      <c r="C8" s="481"/>
      <c r="D8" s="481"/>
      <c r="E8" s="483"/>
      <c r="F8" s="483"/>
      <c r="G8" s="483"/>
    </row>
    <row r="9" spans="1:7" s="253" customFormat="1" ht="18" customHeight="1">
      <c r="A9" s="841" t="s">
        <v>1144</v>
      </c>
      <c r="B9" s="841"/>
      <c r="C9" s="841"/>
      <c r="D9" s="841"/>
      <c r="E9" s="841"/>
      <c r="F9" s="841"/>
      <c r="G9" s="841"/>
    </row>
    <row r="10" spans="1:7" ht="5.25" customHeight="1">
      <c r="A10" s="484"/>
      <c r="B10" s="484"/>
      <c r="C10" s="484"/>
      <c r="D10" s="484"/>
      <c r="E10" s="484"/>
      <c r="F10" s="484"/>
      <c r="G10" s="484"/>
    </row>
    <row r="11" spans="1:7" ht="12.75">
      <c r="A11" s="485" t="s">
        <v>55</v>
      </c>
      <c r="B11" s="486" t="s">
        <v>56</v>
      </c>
      <c r="C11" s="487" t="s">
        <v>68</v>
      </c>
      <c r="D11" s="487" t="s">
        <v>69</v>
      </c>
      <c r="E11" s="488" t="s">
        <v>70</v>
      </c>
      <c r="F11" s="489" t="s">
        <v>418</v>
      </c>
      <c r="G11" s="490" t="s">
        <v>419</v>
      </c>
    </row>
    <row r="12" spans="1:7" ht="4.5" customHeight="1">
      <c r="A12" s="251"/>
      <c r="B12" s="251"/>
      <c r="C12" s="250"/>
      <c r="D12" s="250"/>
      <c r="E12" s="444"/>
      <c r="F12" s="445"/>
      <c r="G12" s="446"/>
    </row>
    <row r="13" spans="1:7" ht="12.75" customHeight="1">
      <c r="A13" s="602" t="s">
        <v>1638</v>
      </c>
      <c r="B13" s="843" t="s">
        <v>1639</v>
      </c>
      <c r="C13" s="844"/>
      <c r="D13" s="844"/>
      <c r="E13" s="844"/>
      <c r="F13" s="844"/>
      <c r="G13" s="845"/>
    </row>
    <row r="14" spans="1:10" ht="63.75">
      <c r="A14" s="171" t="s">
        <v>1645</v>
      </c>
      <c r="B14" s="538" t="s">
        <v>1353</v>
      </c>
      <c r="C14" s="556"/>
      <c r="D14" s="554"/>
      <c r="E14" s="557"/>
      <c r="F14" s="555"/>
      <c r="G14" s="553"/>
      <c r="H14" s="253" t="s">
        <v>1369</v>
      </c>
      <c r="I14" s="253"/>
      <c r="J14" s="253"/>
    </row>
    <row r="15" spans="1:10" ht="12.75">
      <c r="A15" s="174" t="s">
        <v>1354</v>
      </c>
      <c r="B15" s="174" t="s">
        <v>1355</v>
      </c>
      <c r="C15" s="175" t="s">
        <v>72</v>
      </c>
      <c r="D15" s="174" t="s">
        <v>77</v>
      </c>
      <c r="E15" s="434">
        <v>8</v>
      </c>
      <c r="F15" s="434">
        <v>15.14</v>
      </c>
      <c r="G15" s="436">
        <f aca="true" t="shared" si="0" ref="G15:G20">ROUND(E15*F15,2)</f>
        <v>121.12</v>
      </c>
      <c r="H15" s="253"/>
      <c r="I15" s="253"/>
      <c r="J15" s="253"/>
    </row>
    <row r="16" spans="1:10" ht="12.75">
      <c r="A16" s="174" t="s">
        <v>1291</v>
      </c>
      <c r="B16" s="174" t="s">
        <v>1356</v>
      </c>
      <c r="C16" s="175" t="s">
        <v>72</v>
      </c>
      <c r="D16" s="174" t="s">
        <v>77</v>
      </c>
      <c r="E16" s="434">
        <v>8</v>
      </c>
      <c r="F16" s="434">
        <v>12.64</v>
      </c>
      <c r="G16" s="436">
        <f t="shared" si="0"/>
        <v>101.12</v>
      </c>
      <c r="H16" s="253" t="s">
        <v>1370</v>
      </c>
      <c r="I16" s="253"/>
      <c r="J16" s="253"/>
    </row>
    <row r="17" spans="1:10" ht="12.75">
      <c r="A17" s="174" t="s">
        <v>1357</v>
      </c>
      <c r="B17" s="174" t="s">
        <v>1358</v>
      </c>
      <c r="C17" s="175" t="s">
        <v>72</v>
      </c>
      <c r="D17" s="174" t="s">
        <v>77</v>
      </c>
      <c r="E17" s="434">
        <v>8</v>
      </c>
      <c r="F17" s="434">
        <v>15.26</v>
      </c>
      <c r="G17" s="436">
        <f t="shared" si="0"/>
        <v>122.08</v>
      </c>
      <c r="H17" s="253" t="s">
        <v>1371</v>
      </c>
      <c r="I17" s="253"/>
      <c r="J17" s="253"/>
    </row>
    <row r="18" spans="1:10" ht="12.75">
      <c r="A18" s="174" t="s">
        <v>1359</v>
      </c>
      <c r="B18" s="174" t="s">
        <v>1360</v>
      </c>
      <c r="C18" s="175" t="s">
        <v>72</v>
      </c>
      <c r="D18" s="174" t="s">
        <v>77</v>
      </c>
      <c r="E18" s="434">
        <v>8</v>
      </c>
      <c r="F18" s="434">
        <v>12.97</v>
      </c>
      <c r="G18" s="436">
        <f t="shared" si="0"/>
        <v>103.76</v>
      </c>
      <c r="I18" s="253"/>
      <c r="J18" s="253"/>
    </row>
    <row r="19" spans="1:10" ht="12.75">
      <c r="A19" s="174" t="s">
        <v>1361</v>
      </c>
      <c r="B19" s="174" t="s">
        <v>1362</v>
      </c>
      <c r="C19" s="175" t="s">
        <v>72</v>
      </c>
      <c r="D19" s="174" t="s">
        <v>77</v>
      </c>
      <c r="E19" s="434">
        <v>8</v>
      </c>
      <c r="F19" s="434">
        <v>15.12</v>
      </c>
      <c r="G19" s="436">
        <f t="shared" si="0"/>
        <v>120.96</v>
      </c>
      <c r="H19" s="253"/>
      <c r="I19" s="253"/>
      <c r="J19" s="253"/>
    </row>
    <row r="20" spans="1:10" ht="12.75">
      <c r="A20" s="174" t="s">
        <v>1420</v>
      </c>
      <c r="B20" s="174" t="s">
        <v>1363</v>
      </c>
      <c r="C20" s="175" t="s">
        <v>72</v>
      </c>
      <c r="D20" s="174" t="s">
        <v>77</v>
      </c>
      <c r="E20" s="434">
        <v>8</v>
      </c>
      <c r="F20" s="434">
        <v>12.86</v>
      </c>
      <c r="G20" s="436">
        <f t="shared" si="0"/>
        <v>102.88</v>
      </c>
      <c r="H20" s="253"/>
      <c r="I20" s="253"/>
      <c r="J20" s="253"/>
    </row>
    <row r="21" spans="1:10" ht="76.5">
      <c r="A21" s="174" t="s">
        <v>1364</v>
      </c>
      <c r="B21" s="174" t="s">
        <v>1365</v>
      </c>
      <c r="C21" s="175" t="s">
        <v>73</v>
      </c>
      <c r="D21" s="174" t="s">
        <v>488</v>
      </c>
      <c r="E21" s="434">
        <v>4</v>
      </c>
      <c r="F21" s="434">
        <v>128.74</v>
      </c>
      <c r="G21" s="436">
        <f>ROUND(E21*F21,2)</f>
        <v>514.96</v>
      </c>
      <c r="H21" s="253" t="s">
        <v>1372</v>
      </c>
      <c r="I21" s="253"/>
      <c r="J21" s="253"/>
    </row>
    <row r="22" spans="1:10" ht="51">
      <c r="A22" s="174" t="s">
        <v>1366</v>
      </c>
      <c r="B22" s="174" t="s">
        <v>1367</v>
      </c>
      <c r="C22" s="175" t="s">
        <v>73</v>
      </c>
      <c r="D22" s="174" t="s">
        <v>488</v>
      </c>
      <c r="E22" s="434">
        <v>16</v>
      </c>
      <c r="F22" s="434">
        <v>90.63</v>
      </c>
      <c r="G22" s="436">
        <f>ROUND(E22*F22,2)</f>
        <v>1450.08</v>
      </c>
      <c r="H22" s="253" t="s">
        <v>1373</v>
      </c>
      <c r="I22" s="253"/>
      <c r="J22" s="253"/>
    </row>
    <row r="23" spans="1:10" ht="12.75">
      <c r="A23" s="783" t="s">
        <v>439</v>
      </c>
      <c r="B23" s="784"/>
      <c r="C23" s="784"/>
      <c r="D23" s="784"/>
      <c r="E23" s="784"/>
      <c r="F23" s="784"/>
      <c r="G23" s="440">
        <f>SUM(G15:G20)</f>
        <v>671.92</v>
      </c>
      <c r="H23" s="253"/>
      <c r="I23" s="253"/>
      <c r="J23" s="253"/>
    </row>
    <row r="24" spans="1:8" ht="12.75">
      <c r="A24" s="783" t="s">
        <v>440</v>
      </c>
      <c r="B24" s="784"/>
      <c r="C24" s="784"/>
      <c r="D24" s="784"/>
      <c r="E24" s="784"/>
      <c r="F24" s="784"/>
      <c r="G24" s="440">
        <f>SUM(G21:G22)</f>
        <v>1965.04</v>
      </c>
      <c r="H24" s="558"/>
    </row>
    <row r="25" spans="1:7" ht="12.75">
      <c r="A25" s="783" t="s">
        <v>441</v>
      </c>
      <c r="B25" s="784"/>
      <c r="C25" s="784"/>
      <c r="D25" s="784"/>
      <c r="E25" s="784"/>
      <c r="F25" s="784"/>
      <c r="G25" s="440">
        <f>SUM(G23:G24)</f>
        <v>2636.96</v>
      </c>
    </row>
    <row r="26" spans="1:7" ht="12.75">
      <c r="A26" s="783" t="s">
        <v>1368</v>
      </c>
      <c r="B26" s="784"/>
      <c r="C26" s="784"/>
      <c r="D26" s="784"/>
      <c r="E26" s="784"/>
      <c r="F26" s="784"/>
      <c r="G26" s="440">
        <f>G23*86.17%</f>
        <v>578.993464</v>
      </c>
    </row>
    <row r="27" spans="1:7" ht="12.75">
      <c r="A27" s="783" t="s">
        <v>443</v>
      </c>
      <c r="B27" s="784"/>
      <c r="C27" s="784"/>
      <c r="D27" s="784"/>
      <c r="E27" s="784"/>
      <c r="F27" s="784"/>
      <c r="G27" s="440">
        <f>G26</f>
        <v>578.993464</v>
      </c>
    </row>
    <row r="28" spans="1:7" ht="12.75">
      <c r="A28" s="785" t="s">
        <v>444</v>
      </c>
      <c r="B28" s="786"/>
      <c r="C28" s="786"/>
      <c r="D28" s="786"/>
      <c r="E28" s="786"/>
      <c r="F28" s="787"/>
      <c r="G28" s="440">
        <f>G24</f>
        <v>1965.04</v>
      </c>
    </row>
    <row r="29" spans="1:7" ht="12.75">
      <c r="A29" s="785" t="s">
        <v>445</v>
      </c>
      <c r="B29" s="786"/>
      <c r="C29" s="786"/>
      <c r="D29" s="786"/>
      <c r="E29" s="786"/>
      <c r="F29" s="787"/>
      <c r="G29" s="440">
        <f>G23+G27</f>
        <v>1250.913464</v>
      </c>
    </row>
    <row r="30" spans="1:7" ht="12.75">
      <c r="A30" s="785" t="s">
        <v>446</v>
      </c>
      <c r="B30" s="786"/>
      <c r="C30" s="786"/>
      <c r="D30" s="786"/>
      <c r="E30" s="786"/>
      <c r="F30" s="787"/>
      <c r="G30" s="440">
        <f>SUM(G28:G29)</f>
        <v>3215.953464</v>
      </c>
    </row>
    <row r="31" spans="1:7" ht="12.75">
      <c r="A31" s="549"/>
      <c r="B31" s="550"/>
      <c r="C31" s="551"/>
      <c r="D31" s="551"/>
      <c r="E31" s="552"/>
      <c r="F31" s="552"/>
      <c r="G31" s="553"/>
    </row>
    <row r="32" spans="1:7" ht="12.75">
      <c r="A32" s="249" t="s">
        <v>1431</v>
      </c>
      <c r="B32" s="788" t="s">
        <v>1432</v>
      </c>
      <c r="C32" s="788"/>
      <c r="D32" s="788"/>
      <c r="E32" s="788"/>
      <c r="F32" s="788"/>
      <c r="G32" s="788"/>
    </row>
    <row r="33" spans="1:7" ht="12.75">
      <c r="A33" s="249" t="s">
        <v>1433</v>
      </c>
      <c r="B33" s="788" t="s">
        <v>1629</v>
      </c>
      <c r="C33" s="788"/>
      <c r="D33" s="788"/>
      <c r="E33" s="788"/>
      <c r="F33" s="788"/>
      <c r="G33" s="788"/>
    </row>
    <row r="34" spans="1:7" ht="12.75">
      <c r="A34" s="249" t="s">
        <v>1647</v>
      </c>
      <c r="B34" s="550"/>
      <c r="C34" s="550"/>
      <c r="D34" s="550"/>
      <c r="E34" s="550"/>
      <c r="F34" s="550"/>
      <c r="G34" s="702"/>
    </row>
    <row r="35" spans="1:7" ht="38.25">
      <c r="A35" s="171" t="s">
        <v>420</v>
      </c>
      <c r="B35" s="182" t="s">
        <v>421</v>
      </c>
      <c r="C35" s="172" t="s">
        <v>72</v>
      </c>
      <c r="D35" s="172" t="s">
        <v>82</v>
      </c>
      <c r="E35" s="373"/>
      <c r="F35" s="374"/>
      <c r="G35" s="375"/>
    </row>
    <row r="36" spans="1:7" ht="25.5">
      <c r="A36" s="173" t="s">
        <v>422</v>
      </c>
      <c r="B36" s="174" t="s">
        <v>423</v>
      </c>
      <c r="C36" s="175" t="s">
        <v>73</v>
      </c>
      <c r="D36" s="175" t="s">
        <v>424</v>
      </c>
      <c r="E36" s="434">
        <v>0.6</v>
      </c>
      <c r="F36" s="435">
        <v>0.62</v>
      </c>
      <c r="G36" s="436">
        <f>E36*F36</f>
        <v>0.372</v>
      </c>
    </row>
    <row r="37" spans="1:7" ht="38.25">
      <c r="A37" s="173" t="s">
        <v>425</v>
      </c>
      <c r="B37" s="174" t="s">
        <v>426</v>
      </c>
      <c r="C37" s="175" t="s">
        <v>73</v>
      </c>
      <c r="D37" s="175" t="s">
        <v>75</v>
      </c>
      <c r="E37" s="434">
        <v>0.2272727</v>
      </c>
      <c r="F37" s="435">
        <v>23.25</v>
      </c>
      <c r="G37" s="436">
        <f aca="true" t="shared" si="1" ref="G37:G43">E37*F37</f>
        <v>5.284090275</v>
      </c>
    </row>
    <row r="38" spans="1:7" ht="38.25">
      <c r="A38" s="173" t="s">
        <v>427</v>
      </c>
      <c r="B38" s="174" t="s">
        <v>428</v>
      </c>
      <c r="C38" s="175" t="s">
        <v>73</v>
      </c>
      <c r="D38" s="175" t="s">
        <v>71</v>
      </c>
      <c r="E38" s="434">
        <v>1.58</v>
      </c>
      <c r="F38" s="435">
        <v>8.11</v>
      </c>
      <c r="G38" s="436">
        <f t="shared" si="1"/>
        <v>12.8138</v>
      </c>
    </row>
    <row r="39" spans="1:7" ht="25.5">
      <c r="A39" s="173" t="s">
        <v>429</v>
      </c>
      <c r="B39" s="174" t="s">
        <v>430</v>
      </c>
      <c r="C39" s="175" t="s">
        <v>73</v>
      </c>
      <c r="D39" s="175" t="s">
        <v>424</v>
      </c>
      <c r="E39" s="434">
        <v>0.15</v>
      </c>
      <c r="F39" s="435">
        <v>9.5</v>
      </c>
      <c r="G39" s="436">
        <f t="shared" si="1"/>
        <v>1.425</v>
      </c>
    </row>
    <row r="40" spans="1:7" ht="12.75">
      <c r="A40" s="173" t="s">
        <v>431</v>
      </c>
      <c r="B40" s="174" t="s">
        <v>432</v>
      </c>
      <c r="C40" s="175" t="s">
        <v>73</v>
      </c>
      <c r="D40" s="175" t="s">
        <v>85</v>
      </c>
      <c r="E40" s="434">
        <v>0.022</v>
      </c>
      <c r="F40" s="435">
        <v>14.46</v>
      </c>
      <c r="G40" s="436">
        <f t="shared" si="1"/>
        <v>0.31812</v>
      </c>
    </row>
    <row r="41" spans="1:7" ht="25.5">
      <c r="A41" s="173" t="s">
        <v>433</v>
      </c>
      <c r="B41" s="174" t="s">
        <v>434</v>
      </c>
      <c r="C41" s="175" t="s">
        <v>72</v>
      </c>
      <c r="D41" s="175" t="s">
        <v>77</v>
      </c>
      <c r="E41" s="434">
        <v>0.8</v>
      </c>
      <c r="F41" s="435">
        <v>15.07</v>
      </c>
      <c r="G41" s="436">
        <f t="shared" si="1"/>
        <v>12.056000000000001</v>
      </c>
    </row>
    <row r="42" spans="1:7" ht="25.5">
      <c r="A42" s="173" t="s">
        <v>435</v>
      </c>
      <c r="B42" s="174" t="s">
        <v>436</v>
      </c>
      <c r="C42" s="175" t="s">
        <v>72</v>
      </c>
      <c r="D42" s="175" t="s">
        <v>77</v>
      </c>
      <c r="E42" s="434">
        <v>0.3</v>
      </c>
      <c r="F42" s="435">
        <v>15.09</v>
      </c>
      <c r="G42" s="436">
        <f t="shared" si="1"/>
        <v>4.527</v>
      </c>
    </row>
    <row r="43" spans="1:7" ht="25.5">
      <c r="A43" s="173" t="s">
        <v>437</v>
      </c>
      <c r="B43" s="174" t="s">
        <v>438</v>
      </c>
      <c r="C43" s="175" t="s">
        <v>72</v>
      </c>
      <c r="D43" s="175" t="s">
        <v>77</v>
      </c>
      <c r="E43" s="434">
        <v>0.95</v>
      </c>
      <c r="F43" s="435">
        <v>12.64</v>
      </c>
      <c r="G43" s="436">
        <f t="shared" si="1"/>
        <v>12.008</v>
      </c>
    </row>
    <row r="44" spans="1:7" ht="12.75">
      <c r="A44" s="783" t="s">
        <v>439</v>
      </c>
      <c r="B44" s="784"/>
      <c r="C44" s="784"/>
      <c r="D44" s="784"/>
      <c r="E44" s="784"/>
      <c r="F44" s="784"/>
      <c r="G44" s="440">
        <f>SUM(G41:G43)</f>
        <v>28.591</v>
      </c>
    </row>
    <row r="45" spans="1:7" ht="12.75">
      <c r="A45" s="783" t="s">
        <v>440</v>
      </c>
      <c r="B45" s="784"/>
      <c r="C45" s="784"/>
      <c r="D45" s="784"/>
      <c r="E45" s="784"/>
      <c r="F45" s="784"/>
      <c r="G45" s="440">
        <f>SUM(G36:G41)</f>
        <v>32.269010275</v>
      </c>
    </row>
    <row r="46" spans="1:7" ht="12.75">
      <c r="A46" s="783" t="s">
        <v>441</v>
      </c>
      <c r="B46" s="784"/>
      <c r="C46" s="784"/>
      <c r="D46" s="784"/>
      <c r="E46" s="784"/>
      <c r="F46" s="784"/>
      <c r="G46" s="440">
        <f>SUM(G44:G45)</f>
        <v>60.860010275</v>
      </c>
    </row>
    <row r="47" spans="1:7" ht="12.75">
      <c r="A47" s="783" t="s">
        <v>442</v>
      </c>
      <c r="B47" s="784"/>
      <c r="C47" s="784"/>
      <c r="D47" s="784"/>
      <c r="E47" s="784"/>
      <c r="F47" s="784"/>
      <c r="G47" s="440">
        <f>G44*85.16%</f>
        <v>24.348095599999997</v>
      </c>
    </row>
    <row r="48" spans="1:7" ht="12.75">
      <c r="A48" s="783" t="s">
        <v>443</v>
      </c>
      <c r="B48" s="784"/>
      <c r="C48" s="784"/>
      <c r="D48" s="784"/>
      <c r="E48" s="784"/>
      <c r="F48" s="784"/>
      <c r="G48" s="440">
        <f>G47</f>
        <v>24.348095599999997</v>
      </c>
    </row>
    <row r="49" spans="1:7" ht="12.75">
      <c r="A49" s="785" t="s">
        <v>444</v>
      </c>
      <c r="B49" s="786"/>
      <c r="C49" s="786"/>
      <c r="D49" s="786"/>
      <c r="E49" s="786"/>
      <c r="F49" s="787"/>
      <c r="G49" s="440">
        <f>G45</f>
        <v>32.269010275</v>
      </c>
    </row>
    <row r="50" spans="1:7" ht="12.75">
      <c r="A50" s="785" t="s">
        <v>445</v>
      </c>
      <c r="B50" s="786"/>
      <c r="C50" s="786"/>
      <c r="D50" s="786"/>
      <c r="E50" s="786"/>
      <c r="F50" s="787"/>
      <c r="G50" s="440">
        <f>G44+G48</f>
        <v>52.9390956</v>
      </c>
    </row>
    <row r="51" spans="1:7" ht="12.75">
      <c r="A51" s="785" t="s">
        <v>446</v>
      </c>
      <c r="B51" s="786"/>
      <c r="C51" s="786"/>
      <c r="D51" s="786"/>
      <c r="E51" s="786"/>
      <c r="F51" s="787"/>
      <c r="G51" s="440">
        <f>SUM(G49:G50)</f>
        <v>85.208105875</v>
      </c>
    </row>
    <row r="52" spans="1:7" ht="12.75">
      <c r="A52" s="796"/>
      <c r="B52" s="797"/>
      <c r="C52" s="797"/>
      <c r="D52" s="797"/>
      <c r="E52" s="797"/>
      <c r="F52" s="797"/>
      <c r="G52" s="798"/>
    </row>
    <row r="53" spans="1:7" ht="12.75">
      <c r="A53" s="804"/>
      <c r="B53" s="805"/>
      <c r="C53" s="805"/>
      <c r="D53" s="805"/>
      <c r="E53" s="805"/>
      <c r="F53" s="805"/>
      <c r="G53" s="806"/>
    </row>
    <row r="54" spans="1:7" ht="12.75">
      <c r="A54" s="597" t="s">
        <v>1543</v>
      </c>
      <c r="B54" s="597" t="s">
        <v>1544</v>
      </c>
      <c r="C54" s="595"/>
      <c r="D54" s="595"/>
      <c r="E54" s="595"/>
      <c r="F54" s="595"/>
      <c r="G54" s="596"/>
    </row>
    <row r="55" spans="1:7" ht="12.75">
      <c r="A55" s="597" t="s">
        <v>1546</v>
      </c>
      <c r="B55" s="597" t="s">
        <v>1545</v>
      </c>
      <c r="C55" s="595"/>
      <c r="D55" s="595"/>
      <c r="E55" s="595"/>
      <c r="F55" s="595"/>
      <c r="G55" s="596"/>
    </row>
    <row r="56" spans="1:7" ht="12.75">
      <c r="A56" s="597" t="s">
        <v>1555</v>
      </c>
      <c r="B56" s="597" t="s">
        <v>1556</v>
      </c>
      <c r="C56" s="595"/>
      <c r="D56" s="595"/>
      <c r="E56" s="595"/>
      <c r="F56" s="595"/>
      <c r="G56" s="596"/>
    </row>
    <row r="57" spans="1:7" ht="12.75">
      <c r="A57" s="597" t="s">
        <v>1771</v>
      </c>
      <c r="B57" s="597"/>
      <c r="C57" s="595"/>
      <c r="D57" s="595"/>
      <c r="E57" s="595"/>
      <c r="F57" s="595"/>
      <c r="G57" s="596"/>
    </row>
    <row r="58" spans="1:7" ht="25.5">
      <c r="A58" s="171">
        <v>6140</v>
      </c>
      <c r="B58" s="597" t="s">
        <v>1332</v>
      </c>
      <c r="C58" s="172" t="s">
        <v>72</v>
      </c>
      <c r="D58" s="172" t="s">
        <v>75</v>
      </c>
      <c r="E58" s="373"/>
      <c r="F58" s="374"/>
      <c r="G58" s="375"/>
    </row>
    <row r="59" spans="1:7" ht="25.5">
      <c r="A59" s="173">
        <v>6140</v>
      </c>
      <c r="B59" s="174" t="s">
        <v>1332</v>
      </c>
      <c r="C59" s="175" t="s">
        <v>73</v>
      </c>
      <c r="D59" s="175" t="s">
        <v>75</v>
      </c>
      <c r="E59" s="434">
        <v>1</v>
      </c>
      <c r="F59" s="435">
        <v>2.78</v>
      </c>
      <c r="G59" s="436">
        <f aca="true" t="shared" si="2" ref="G59:G64">E59*F59</f>
        <v>2.78</v>
      </c>
    </row>
    <row r="60" spans="1:7" ht="25.5">
      <c r="A60" s="173">
        <v>122</v>
      </c>
      <c r="B60" s="174" t="s">
        <v>578</v>
      </c>
      <c r="C60" s="175" t="s">
        <v>73</v>
      </c>
      <c r="D60" s="175" t="s">
        <v>75</v>
      </c>
      <c r="E60" s="434">
        <v>0.009</v>
      </c>
      <c r="F60" s="435">
        <v>41.55</v>
      </c>
      <c r="G60" s="436">
        <f t="shared" si="2"/>
        <v>0.37394999999999995</v>
      </c>
    </row>
    <row r="61" spans="1:7" ht="25.5">
      <c r="A61" s="173">
        <v>20083</v>
      </c>
      <c r="B61" s="174" t="s">
        <v>580</v>
      </c>
      <c r="C61" s="175" t="s">
        <v>73</v>
      </c>
      <c r="D61" s="175" t="s">
        <v>75</v>
      </c>
      <c r="E61" s="434">
        <v>0.011</v>
      </c>
      <c r="F61" s="435">
        <v>36.08</v>
      </c>
      <c r="G61" s="436">
        <f t="shared" si="2"/>
        <v>0.39687999999999996</v>
      </c>
    </row>
    <row r="62" spans="1:7" ht="12.75">
      <c r="A62" s="173">
        <v>38383</v>
      </c>
      <c r="B62" s="174" t="s">
        <v>584</v>
      </c>
      <c r="C62" s="175" t="s">
        <v>73</v>
      </c>
      <c r="D62" s="175" t="s">
        <v>75</v>
      </c>
      <c r="E62" s="434">
        <v>0.06</v>
      </c>
      <c r="F62" s="435">
        <v>1.52</v>
      </c>
      <c r="G62" s="436">
        <f t="shared" si="2"/>
        <v>0.0912</v>
      </c>
    </row>
    <row r="63" spans="1:7" ht="25.5">
      <c r="A63" s="173" t="s">
        <v>1327</v>
      </c>
      <c r="B63" s="174" t="s">
        <v>495</v>
      </c>
      <c r="C63" s="175" t="s">
        <v>72</v>
      </c>
      <c r="D63" s="175" t="s">
        <v>77</v>
      </c>
      <c r="E63" s="434">
        <v>0.119</v>
      </c>
      <c r="F63" s="435">
        <v>15.12</v>
      </c>
      <c r="G63" s="436">
        <f t="shared" si="2"/>
        <v>1.7992799999999998</v>
      </c>
    </row>
    <row r="64" spans="1:7" ht="38.25">
      <c r="A64" s="173" t="s">
        <v>1334</v>
      </c>
      <c r="B64" s="174" t="s">
        <v>493</v>
      </c>
      <c r="C64" s="175" t="s">
        <v>72</v>
      </c>
      <c r="D64" s="175" t="s">
        <v>77</v>
      </c>
      <c r="E64" s="434">
        <v>0.119</v>
      </c>
      <c r="F64" s="435">
        <v>12.86</v>
      </c>
      <c r="G64" s="436">
        <f t="shared" si="2"/>
        <v>1.5303399999999998</v>
      </c>
    </row>
    <row r="65" spans="1:7" ht="12.75">
      <c r="A65" s="783" t="s">
        <v>439</v>
      </c>
      <c r="B65" s="784"/>
      <c r="C65" s="784"/>
      <c r="D65" s="784"/>
      <c r="E65" s="784"/>
      <c r="F65" s="784"/>
      <c r="G65" s="440">
        <f>ROUNDUP(SUM(G63:G64),2)</f>
        <v>3.3299999999999996</v>
      </c>
    </row>
    <row r="66" spans="1:7" ht="12.75">
      <c r="A66" s="783" t="s">
        <v>440</v>
      </c>
      <c r="B66" s="784"/>
      <c r="C66" s="784"/>
      <c r="D66" s="784"/>
      <c r="E66" s="784"/>
      <c r="F66" s="784"/>
      <c r="G66" s="440">
        <f>ROUNDUP(SUM(G59:G62),2)</f>
        <v>3.65</v>
      </c>
    </row>
    <row r="67" spans="1:7" ht="12.75">
      <c r="A67" s="783" t="s">
        <v>441</v>
      </c>
      <c r="B67" s="784"/>
      <c r="C67" s="784"/>
      <c r="D67" s="784"/>
      <c r="E67" s="784"/>
      <c r="F67" s="784"/>
      <c r="G67" s="440">
        <f>SUM(G65:G66)</f>
        <v>6.9799999999999995</v>
      </c>
    </row>
    <row r="68" spans="1:7" ht="12.75">
      <c r="A68" s="783" t="s">
        <v>442</v>
      </c>
      <c r="B68" s="784"/>
      <c r="C68" s="784"/>
      <c r="D68" s="784"/>
      <c r="E68" s="784"/>
      <c r="F68" s="784"/>
      <c r="G68" s="440">
        <f>G65*85.16%</f>
        <v>2.8358279999999993</v>
      </c>
    </row>
    <row r="69" spans="1:7" ht="12.75">
      <c r="A69" s="783" t="s">
        <v>443</v>
      </c>
      <c r="B69" s="784"/>
      <c r="C69" s="784"/>
      <c r="D69" s="784"/>
      <c r="E69" s="784"/>
      <c r="F69" s="784"/>
      <c r="G69" s="440">
        <f>G68</f>
        <v>2.8358279999999993</v>
      </c>
    </row>
    <row r="70" spans="1:7" ht="12.75">
      <c r="A70" s="785" t="s">
        <v>444</v>
      </c>
      <c r="B70" s="786"/>
      <c r="C70" s="786"/>
      <c r="D70" s="786"/>
      <c r="E70" s="786"/>
      <c r="F70" s="787"/>
      <c r="G70" s="440">
        <f>G66</f>
        <v>3.65</v>
      </c>
    </row>
    <row r="71" spans="1:7" ht="12.75">
      <c r="A71" s="785" t="s">
        <v>445</v>
      </c>
      <c r="B71" s="786"/>
      <c r="C71" s="786"/>
      <c r="D71" s="786"/>
      <c r="E71" s="786"/>
      <c r="F71" s="787"/>
      <c r="G71" s="440">
        <f>G65+G69</f>
        <v>6.165827999999999</v>
      </c>
    </row>
    <row r="72" spans="1:7" ht="12.75">
      <c r="A72" s="785" t="s">
        <v>446</v>
      </c>
      <c r="B72" s="786"/>
      <c r="C72" s="786"/>
      <c r="D72" s="786"/>
      <c r="E72" s="786"/>
      <c r="F72" s="787"/>
      <c r="G72" s="440">
        <f>SUM(G70:G71)</f>
        <v>9.815828</v>
      </c>
    </row>
    <row r="73" spans="1:7" ht="12.75">
      <c r="A73" s="491" t="s">
        <v>83</v>
      </c>
      <c r="B73" s="799" t="s">
        <v>1333</v>
      </c>
      <c r="C73" s="799"/>
      <c r="D73" s="799"/>
      <c r="E73" s="799"/>
      <c r="F73" s="799"/>
      <c r="G73" s="800"/>
    </row>
    <row r="74" spans="1:7" ht="12.75">
      <c r="A74" s="594"/>
      <c r="B74" s="595"/>
      <c r="C74" s="595"/>
      <c r="D74" s="595"/>
      <c r="E74" s="595"/>
      <c r="F74" s="595"/>
      <c r="G74" s="596"/>
    </row>
    <row r="75" spans="1:7" ht="12.75">
      <c r="A75" s="594"/>
      <c r="B75" s="595"/>
      <c r="C75" s="595"/>
      <c r="D75" s="595"/>
      <c r="E75" s="595"/>
      <c r="F75" s="595"/>
      <c r="G75" s="596"/>
    </row>
    <row r="76" spans="1:7" ht="12.75">
      <c r="A76" s="249" t="s">
        <v>1642</v>
      </c>
      <c r="B76" s="788" t="s">
        <v>1643</v>
      </c>
      <c r="C76" s="788"/>
      <c r="D76" s="788"/>
      <c r="E76" s="788"/>
      <c r="F76" s="788"/>
      <c r="G76" s="788"/>
    </row>
    <row r="77" spans="1:7" ht="12.75">
      <c r="A77" s="249" t="s">
        <v>1650</v>
      </c>
      <c r="B77" s="788"/>
      <c r="C77" s="788"/>
      <c r="D77" s="788"/>
      <c r="E77" s="788"/>
      <c r="F77" s="788"/>
      <c r="G77" s="788"/>
    </row>
    <row r="78" spans="1:7" ht="25.5">
      <c r="A78" s="171" t="s">
        <v>499</v>
      </c>
      <c r="B78" s="182" t="s">
        <v>86</v>
      </c>
      <c r="C78" s="172" t="s">
        <v>72</v>
      </c>
      <c r="D78" s="172" t="s">
        <v>87</v>
      </c>
      <c r="E78" s="373"/>
      <c r="F78" s="374"/>
      <c r="G78" s="375"/>
    </row>
    <row r="79" spans="1:7" ht="51">
      <c r="A79" s="173" t="s">
        <v>88</v>
      </c>
      <c r="B79" s="174" t="s">
        <v>89</v>
      </c>
      <c r="C79" s="175" t="s">
        <v>73</v>
      </c>
      <c r="D79" s="175" t="s">
        <v>87</v>
      </c>
      <c r="E79" s="434">
        <v>1</v>
      </c>
      <c r="F79" s="435">
        <v>15</v>
      </c>
      <c r="G79" s="436">
        <f>E79*F79</f>
        <v>15</v>
      </c>
    </row>
    <row r="80" spans="1:7" ht="25.5">
      <c r="A80" s="173" t="s">
        <v>437</v>
      </c>
      <c r="B80" s="174" t="s">
        <v>438</v>
      </c>
      <c r="C80" s="175" t="s">
        <v>72</v>
      </c>
      <c r="D80" s="175" t="s">
        <v>77</v>
      </c>
      <c r="E80" s="434">
        <v>0.5</v>
      </c>
      <c r="F80" s="435">
        <v>12.64</v>
      </c>
      <c r="G80" s="436">
        <f>E80*F80</f>
        <v>6.32</v>
      </c>
    </row>
    <row r="81" spans="1:7" ht="12.75">
      <c r="A81" s="783" t="s">
        <v>439</v>
      </c>
      <c r="B81" s="784"/>
      <c r="C81" s="784"/>
      <c r="D81" s="784"/>
      <c r="E81" s="784"/>
      <c r="F81" s="784"/>
      <c r="G81" s="440">
        <f>SUM(G80)</f>
        <v>6.32</v>
      </c>
    </row>
    <row r="82" spans="1:7" ht="12.75">
      <c r="A82" s="783" t="s">
        <v>440</v>
      </c>
      <c r="B82" s="784"/>
      <c r="C82" s="784"/>
      <c r="D82" s="784"/>
      <c r="E82" s="784"/>
      <c r="F82" s="784"/>
      <c r="G82" s="440">
        <f>SUM(G79)</f>
        <v>15</v>
      </c>
    </row>
    <row r="83" spans="1:7" ht="12.75">
      <c r="A83" s="783" t="s">
        <v>441</v>
      </c>
      <c r="B83" s="784"/>
      <c r="C83" s="784"/>
      <c r="D83" s="784"/>
      <c r="E83" s="784"/>
      <c r="F83" s="784"/>
      <c r="G83" s="440">
        <f>SUM(G81:G82)</f>
        <v>21.32</v>
      </c>
    </row>
    <row r="84" spans="1:7" ht="12.75">
      <c r="A84" s="783" t="s">
        <v>442</v>
      </c>
      <c r="B84" s="784"/>
      <c r="C84" s="784"/>
      <c r="D84" s="784"/>
      <c r="E84" s="784"/>
      <c r="F84" s="784"/>
      <c r="G84" s="440">
        <f>G81*85.16%</f>
        <v>5.382111999999999</v>
      </c>
    </row>
    <row r="85" spans="1:7" ht="12.75">
      <c r="A85" s="783" t="s">
        <v>443</v>
      </c>
      <c r="B85" s="784"/>
      <c r="C85" s="784"/>
      <c r="D85" s="784"/>
      <c r="E85" s="784"/>
      <c r="F85" s="784"/>
      <c r="G85" s="440">
        <f>G84</f>
        <v>5.382111999999999</v>
      </c>
    </row>
    <row r="86" spans="1:7" ht="12.75">
      <c r="A86" s="785" t="s">
        <v>444</v>
      </c>
      <c r="B86" s="786"/>
      <c r="C86" s="786"/>
      <c r="D86" s="786"/>
      <c r="E86" s="786"/>
      <c r="F86" s="787"/>
      <c r="G86" s="440">
        <f>G82</f>
        <v>15</v>
      </c>
    </row>
    <row r="87" spans="1:7" ht="12.75">
      <c r="A87" s="785" t="s">
        <v>445</v>
      </c>
      <c r="B87" s="786"/>
      <c r="C87" s="786"/>
      <c r="D87" s="786"/>
      <c r="E87" s="786"/>
      <c r="F87" s="787"/>
      <c r="G87" s="440">
        <f>G81+G85</f>
        <v>11.702112</v>
      </c>
    </row>
    <row r="88" spans="1:7" ht="12.75">
      <c r="A88" s="785" t="s">
        <v>446</v>
      </c>
      <c r="B88" s="786"/>
      <c r="C88" s="786"/>
      <c r="D88" s="786"/>
      <c r="E88" s="786"/>
      <c r="F88" s="787"/>
      <c r="G88" s="440">
        <f>SUM(G86:G87)</f>
        <v>26.702112</v>
      </c>
    </row>
    <row r="89" spans="1:7" ht="12.75">
      <c r="A89" s="796"/>
      <c r="B89" s="797"/>
      <c r="C89" s="797"/>
      <c r="D89" s="797"/>
      <c r="E89" s="797"/>
      <c r="F89" s="797"/>
      <c r="G89" s="798"/>
    </row>
    <row r="90" spans="1:7" ht="12.75">
      <c r="A90" s="591"/>
      <c r="B90" s="592"/>
      <c r="C90" s="592"/>
      <c r="D90" s="592"/>
      <c r="E90" s="592"/>
      <c r="F90" s="592"/>
      <c r="G90" s="593"/>
    </row>
    <row r="91" spans="1:7" ht="12.75">
      <c r="A91" s="249" t="s">
        <v>1434</v>
      </c>
      <c r="B91" s="788" t="s">
        <v>1630</v>
      </c>
      <c r="C91" s="788"/>
      <c r="D91" s="788"/>
      <c r="E91" s="788"/>
      <c r="F91" s="788"/>
      <c r="G91" s="788"/>
    </row>
    <row r="92" spans="1:7" ht="12.75">
      <c r="A92" s="249" t="s">
        <v>1649</v>
      </c>
      <c r="B92" s="788"/>
      <c r="C92" s="788"/>
      <c r="D92" s="788"/>
      <c r="E92" s="788"/>
      <c r="F92" s="788"/>
      <c r="G92" s="788"/>
    </row>
    <row r="93" spans="1:7" ht="25.5">
      <c r="A93" s="171" t="s">
        <v>1306</v>
      </c>
      <c r="B93" s="504" t="s">
        <v>1307</v>
      </c>
      <c r="C93" s="172" t="s">
        <v>72</v>
      </c>
      <c r="D93" s="172" t="s">
        <v>82</v>
      </c>
      <c r="E93" s="373"/>
      <c r="F93" s="374"/>
      <c r="G93" s="375"/>
    </row>
    <row r="94" spans="1:7" ht="51">
      <c r="A94" s="173">
        <v>4417</v>
      </c>
      <c r="B94" s="174" t="s">
        <v>1311</v>
      </c>
      <c r="C94" s="175" t="s">
        <v>73</v>
      </c>
      <c r="D94" s="175" t="s">
        <v>71</v>
      </c>
      <c r="E94" s="434">
        <v>1</v>
      </c>
      <c r="F94" s="435">
        <v>6.32</v>
      </c>
      <c r="G94" s="436">
        <f>E94*F94</f>
        <v>6.32</v>
      </c>
    </row>
    <row r="95" spans="1:7" ht="38.25">
      <c r="A95" s="173">
        <v>4491</v>
      </c>
      <c r="B95" s="174" t="s">
        <v>428</v>
      </c>
      <c r="C95" s="175" t="s">
        <v>73</v>
      </c>
      <c r="D95" s="175" t="s">
        <v>71</v>
      </c>
      <c r="E95" s="434">
        <v>4</v>
      </c>
      <c r="F95" s="435">
        <v>8.11</v>
      </c>
      <c r="G95" s="436">
        <f aca="true" t="shared" si="3" ref="G95:G100">E95*F95</f>
        <v>32.44</v>
      </c>
    </row>
    <row r="96" spans="1:7" ht="38.25">
      <c r="A96" s="173">
        <v>4813</v>
      </c>
      <c r="B96" s="174" t="s">
        <v>1312</v>
      </c>
      <c r="C96" s="175" t="s">
        <v>73</v>
      </c>
      <c r="D96" s="175" t="s">
        <v>1313</v>
      </c>
      <c r="E96" s="434">
        <v>1</v>
      </c>
      <c r="F96" s="435">
        <v>340</v>
      </c>
      <c r="G96" s="436">
        <f t="shared" si="3"/>
        <v>340</v>
      </c>
    </row>
    <row r="97" spans="1:7" ht="25.5">
      <c r="A97" s="173">
        <v>5075</v>
      </c>
      <c r="B97" s="174" t="s">
        <v>1314</v>
      </c>
      <c r="C97" s="175" t="s">
        <v>73</v>
      </c>
      <c r="D97" s="175" t="s">
        <v>424</v>
      </c>
      <c r="E97" s="434">
        <v>0.11</v>
      </c>
      <c r="F97" s="435">
        <v>9.66</v>
      </c>
      <c r="G97" s="436">
        <f t="shared" si="3"/>
        <v>1.0626</v>
      </c>
    </row>
    <row r="98" spans="1:7" ht="25.5">
      <c r="A98" s="173" t="s">
        <v>1308</v>
      </c>
      <c r="B98" s="174" t="s">
        <v>434</v>
      </c>
      <c r="C98" s="175" t="s">
        <v>72</v>
      </c>
      <c r="D98" s="175" t="s">
        <v>77</v>
      </c>
      <c r="E98" s="434">
        <v>1</v>
      </c>
      <c r="F98" s="435">
        <v>15.07</v>
      </c>
      <c r="G98" s="436">
        <f t="shared" si="3"/>
        <v>15.07</v>
      </c>
    </row>
    <row r="99" spans="1:7" ht="25.5">
      <c r="A99" s="173" t="s">
        <v>1309</v>
      </c>
      <c r="B99" s="174" t="s">
        <v>438</v>
      </c>
      <c r="C99" s="175" t="s">
        <v>72</v>
      </c>
      <c r="D99" s="175" t="s">
        <v>77</v>
      </c>
      <c r="E99" s="434">
        <v>2</v>
      </c>
      <c r="F99" s="435">
        <v>12.64</v>
      </c>
      <c r="G99" s="436">
        <f t="shared" si="3"/>
        <v>25.28</v>
      </c>
    </row>
    <row r="100" spans="1:7" ht="51">
      <c r="A100" s="173" t="s">
        <v>1310</v>
      </c>
      <c r="B100" s="174" t="s">
        <v>1315</v>
      </c>
      <c r="C100" s="175" t="s">
        <v>72</v>
      </c>
      <c r="D100" s="175" t="s">
        <v>1316</v>
      </c>
      <c r="E100" s="434">
        <v>0.01</v>
      </c>
      <c r="F100" s="435">
        <v>238.68</v>
      </c>
      <c r="G100" s="436">
        <f t="shared" si="3"/>
        <v>2.3868</v>
      </c>
    </row>
    <row r="101" spans="1:7" ht="12.75">
      <c r="A101" s="783" t="s">
        <v>439</v>
      </c>
      <c r="B101" s="784"/>
      <c r="C101" s="784"/>
      <c r="D101" s="784"/>
      <c r="E101" s="784"/>
      <c r="F101" s="784"/>
      <c r="G101" s="440">
        <f>SUM(G98:G99)</f>
        <v>40.35</v>
      </c>
    </row>
    <row r="102" spans="1:7" ht="12.75">
      <c r="A102" s="783" t="s">
        <v>440</v>
      </c>
      <c r="B102" s="784"/>
      <c r="C102" s="784"/>
      <c r="D102" s="784"/>
      <c r="E102" s="784"/>
      <c r="F102" s="784"/>
      <c r="G102" s="440">
        <f>SUM(G94:G97)+G100-0.0094</f>
        <v>382.19999999999993</v>
      </c>
    </row>
    <row r="103" spans="1:7" ht="12.75">
      <c r="A103" s="783" t="s">
        <v>441</v>
      </c>
      <c r="B103" s="784"/>
      <c r="C103" s="784"/>
      <c r="D103" s="784"/>
      <c r="E103" s="784"/>
      <c r="F103" s="784"/>
      <c r="G103" s="440">
        <f>SUM(G101:G102)</f>
        <v>422.54999999999995</v>
      </c>
    </row>
    <row r="104" spans="1:7" ht="12.75">
      <c r="A104" s="783" t="s">
        <v>442</v>
      </c>
      <c r="B104" s="784"/>
      <c r="C104" s="784"/>
      <c r="D104" s="784"/>
      <c r="E104" s="784"/>
      <c r="F104" s="784"/>
      <c r="G104" s="440">
        <f>G101*85.16%</f>
        <v>34.36206</v>
      </c>
    </row>
    <row r="105" spans="1:7" ht="12.75">
      <c r="A105" s="783" t="s">
        <v>443</v>
      </c>
      <c r="B105" s="784"/>
      <c r="C105" s="784"/>
      <c r="D105" s="784"/>
      <c r="E105" s="784"/>
      <c r="F105" s="784"/>
      <c r="G105" s="440">
        <f>G104</f>
        <v>34.36206</v>
      </c>
    </row>
    <row r="106" spans="1:7" ht="12.75">
      <c r="A106" s="785" t="s">
        <v>444</v>
      </c>
      <c r="B106" s="786"/>
      <c r="C106" s="786"/>
      <c r="D106" s="786"/>
      <c r="E106" s="786"/>
      <c r="F106" s="787"/>
      <c r="G106" s="440">
        <f>G102</f>
        <v>382.19999999999993</v>
      </c>
    </row>
    <row r="107" spans="1:7" ht="12.75">
      <c r="A107" s="785" t="s">
        <v>445</v>
      </c>
      <c r="B107" s="786"/>
      <c r="C107" s="786"/>
      <c r="D107" s="786"/>
      <c r="E107" s="786"/>
      <c r="F107" s="787"/>
      <c r="G107" s="440">
        <f>G101+G105</f>
        <v>74.71206000000001</v>
      </c>
    </row>
    <row r="108" spans="1:7" ht="12.75">
      <c r="A108" s="785" t="s">
        <v>446</v>
      </c>
      <c r="B108" s="786"/>
      <c r="C108" s="786"/>
      <c r="D108" s="786"/>
      <c r="E108" s="786"/>
      <c r="F108" s="787"/>
      <c r="G108" s="440">
        <f>SUM(G106:G107)</f>
        <v>456.91205999999994</v>
      </c>
    </row>
    <row r="109" spans="1:7" ht="12.75">
      <c r="A109" s="505"/>
      <c r="B109" s="506"/>
      <c r="C109" s="506"/>
      <c r="D109" s="506"/>
      <c r="E109" s="506"/>
      <c r="F109" s="506"/>
      <c r="G109" s="507"/>
    </row>
    <row r="110" spans="1:7" ht="12.75">
      <c r="A110" s="249" t="s">
        <v>1431</v>
      </c>
      <c r="B110" s="788" t="s">
        <v>1432</v>
      </c>
      <c r="C110" s="788"/>
      <c r="D110" s="788"/>
      <c r="E110" s="788"/>
      <c r="F110" s="788"/>
      <c r="G110" s="788"/>
    </row>
    <row r="111" spans="1:7" ht="12.75">
      <c r="A111" s="249" t="s">
        <v>1433</v>
      </c>
      <c r="B111" s="788" t="s">
        <v>1629</v>
      </c>
      <c r="C111" s="788"/>
      <c r="D111" s="788"/>
      <c r="E111" s="788"/>
      <c r="F111" s="788"/>
      <c r="G111" s="788"/>
    </row>
    <row r="112" spans="1:7" ht="12.75">
      <c r="A112" s="249" t="s">
        <v>1648</v>
      </c>
      <c r="B112" s="788"/>
      <c r="C112" s="788"/>
      <c r="D112" s="788"/>
      <c r="E112" s="788"/>
      <c r="F112" s="788"/>
      <c r="G112" s="788"/>
    </row>
    <row r="113" spans="1:7" ht="38.25">
      <c r="A113" s="171" t="s">
        <v>465</v>
      </c>
      <c r="B113" s="182" t="s">
        <v>466</v>
      </c>
      <c r="C113" s="172" t="s">
        <v>72</v>
      </c>
      <c r="D113" s="172" t="s">
        <v>82</v>
      </c>
      <c r="E113" s="373"/>
      <c r="F113" s="374"/>
      <c r="G113" s="375"/>
    </row>
    <row r="114" spans="1:7" ht="12.75">
      <c r="A114" s="173" t="s">
        <v>467</v>
      </c>
      <c r="B114" s="174" t="s">
        <v>468</v>
      </c>
      <c r="C114" s="175" t="s">
        <v>73</v>
      </c>
      <c r="D114" s="175" t="s">
        <v>82</v>
      </c>
      <c r="E114" s="434">
        <v>1.1</v>
      </c>
      <c r="F114" s="435">
        <v>0.85</v>
      </c>
      <c r="G114" s="436">
        <f>E114*F114</f>
        <v>0.935</v>
      </c>
    </row>
    <row r="115" spans="1:7" ht="25.5">
      <c r="A115" s="173" t="s">
        <v>437</v>
      </c>
      <c r="B115" s="174" t="s">
        <v>438</v>
      </c>
      <c r="C115" s="175" t="s">
        <v>72</v>
      </c>
      <c r="D115" s="175" t="s">
        <v>77</v>
      </c>
      <c r="E115" s="434">
        <v>0.4</v>
      </c>
      <c r="F115" s="435">
        <v>12.64</v>
      </c>
      <c r="G115" s="436">
        <f>ROUNDDOWN(E115*F115,2)</f>
        <v>5.05</v>
      </c>
    </row>
    <row r="116" spans="1:7" ht="12.75">
      <c r="A116" s="783" t="s">
        <v>439</v>
      </c>
      <c r="B116" s="784"/>
      <c r="C116" s="784"/>
      <c r="D116" s="784"/>
      <c r="E116" s="784"/>
      <c r="F116" s="784"/>
      <c r="G116" s="440">
        <f>ROUNDDOWN(SUM(G115),2)</f>
        <v>5.05</v>
      </c>
    </row>
    <row r="117" spans="1:7" ht="12.75">
      <c r="A117" s="783" t="s">
        <v>440</v>
      </c>
      <c r="B117" s="784"/>
      <c r="C117" s="784"/>
      <c r="D117" s="784"/>
      <c r="E117" s="784"/>
      <c r="F117" s="784"/>
      <c r="G117" s="440">
        <f>SUM(G114)</f>
        <v>0.935</v>
      </c>
    </row>
    <row r="118" spans="1:7" ht="12.75">
      <c r="A118" s="783" t="s">
        <v>441</v>
      </c>
      <c r="B118" s="784"/>
      <c r="C118" s="784"/>
      <c r="D118" s="784"/>
      <c r="E118" s="784"/>
      <c r="F118" s="784"/>
      <c r="G118" s="440">
        <f>SUM(G116:G117)</f>
        <v>5.984999999999999</v>
      </c>
    </row>
    <row r="119" spans="1:7" ht="12.75">
      <c r="A119" s="783" t="s">
        <v>442</v>
      </c>
      <c r="B119" s="784"/>
      <c r="C119" s="784"/>
      <c r="D119" s="784"/>
      <c r="E119" s="784"/>
      <c r="F119" s="784"/>
      <c r="G119" s="440">
        <f>G116*85.16%</f>
        <v>4.300579999999999</v>
      </c>
    </row>
    <row r="120" spans="1:7" ht="12.75">
      <c r="A120" s="783" t="s">
        <v>443</v>
      </c>
      <c r="B120" s="784"/>
      <c r="C120" s="784"/>
      <c r="D120" s="784"/>
      <c r="E120" s="784"/>
      <c r="F120" s="784"/>
      <c r="G120" s="440">
        <f>G119</f>
        <v>4.300579999999999</v>
      </c>
    </row>
    <row r="121" spans="1:7" ht="12.75">
      <c r="A121" s="785" t="s">
        <v>444</v>
      </c>
      <c r="B121" s="786"/>
      <c r="C121" s="786"/>
      <c r="D121" s="786"/>
      <c r="E121" s="786"/>
      <c r="F121" s="787"/>
      <c r="G121" s="440">
        <f>G117</f>
        <v>0.935</v>
      </c>
    </row>
    <row r="122" spans="1:7" ht="12.75">
      <c r="A122" s="785" t="s">
        <v>445</v>
      </c>
      <c r="B122" s="786"/>
      <c r="C122" s="786"/>
      <c r="D122" s="786"/>
      <c r="E122" s="786"/>
      <c r="F122" s="787"/>
      <c r="G122" s="440">
        <f>G116+G120</f>
        <v>9.350579999999999</v>
      </c>
    </row>
    <row r="123" spans="1:7" ht="12.75">
      <c r="A123" s="785" t="s">
        <v>446</v>
      </c>
      <c r="B123" s="786"/>
      <c r="C123" s="786"/>
      <c r="D123" s="786"/>
      <c r="E123" s="786"/>
      <c r="F123" s="787"/>
      <c r="G123" s="440">
        <f>SUM(G121:G122)</f>
        <v>10.28558</v>
      </c>
    </row>
    <row r="124" spans="1:7" ht="12.75">
      <c r="A124" s="796"/>
      <c r="B124" s="797"/>
      <c r="C124" s="797"/>
      <c r="D124" s="797"/>
      <c r="E124" s="797"/>
      <c r="F124" s="797"/>
      <c r="G124" s="798"/>
    </row>
    <row r="125" spans="1:7" ht="12.75">
      <c r="A125" s="491" t="s">
        <v>83</v>
      </c>
      <c r="B125" s="799" t="s">
        <v>469</v>
      </c>
      <c r="C125" s="799"/>
      <c r="D125" s="799"/>
      <c r="E125" s="799"/>
      <c r="F125" s="799"/>
      <c r="G125" s="800"/>
    </row>
    <row r="126" spans="1:7" ht="12.75">
      <c r="A126" s="804"/>
      <c r="B126" s="805"/>
      <c r="C126" s="805"/>
      <c r="D126" s="805"/>
      <c r="E126" s="805"/>
      <c r="F126" s="805"/>
      <c r="G126" s="806"/>
    </row>
    <row r="127" spans="1:7" ht="12.75">
      <c r="A127" s="170" t="s">
        <v>1470</v>
      </c>
      <c r="B127" s="703" t="s">
        <v>1471</v>
      </c>
      <c r="C127" s="595"/>
      <c r="D127" s="595"/>
      <c r="E127" s="595"/>
      <c r="F127" s="595"/>
      <c r="G127" s="596"/>
    </row>
    <row r="128" spans="1:7" ht="12.75">
      <c r="A128" s="170" t="s">
        <v>1468</v>
      </c>
      <c r="B128" s="789"/>
      <c r="C128" s="789"/>
      <c r="D128" s="789"/>
      <c r="E128" s="789"/>
      <c r="F128" s="789"/>
      <c r="G128" s="790"/>
    </row>
    <row r="129" spans="1:7" ht="6" customHeight="1">
      <c r="A129" s="804"/>
      <c r="B129" s="805"/>
      <c r="C129" s="805"/>
      <c r="D129" s="805"/>
      <c r="E129" s="805"/>
      <c r="F129" s="805"/>
      <c r="G129" s="806"/>
    </row>
    <row r="130" spans="1:7" ht="25.5">
      <c r="A130" s="171" t="s">
        <v>500</v>
      </c>
      <c r="B130" s="182" t="s">
        <v>501</v>
      </c>
      <c r="C130" s="172" t="s">
        <v>72</v>
      </c>
      <c r="D130" s="172" t="s">
        <v>77</v>
      </c>
      <c r="E130" s="434"/>
      <c r="F130" s="374"/>
      <c r="G130" s="375"/>
    </row>
    <row r="131" spans="1:7" ht="12.75">
      <c r="A131" s="173" t="s">
        <v>502</v>
      </c>
      <c r="B131" s="174" t="s">
        <v>503</v>
      </c>
      <c r="C131" s="175" t="s">
        <v>76</v>
      </c>
      <c r="D131" s="175" t="s">
        <v>77</v>
      </c>
      <c r="E131" s="434">
        <v>1</v>
      </c>
      <c r="F131" s="435">
        <v>48.27</v>
      </c>
      <c r="G131" s="436">
        <f>E131*F131</f>
        <v>48.27</v>
      </c>
    </row>
    <row r="132" spans="1:7" ht="25.5">
      <c r="A132" s="173" t="s">
        <v>78</v>
      </c>
      <c r="B132" s="174" t="s">
        <v>79</v>
      </c>
      <c r="C132" s="175" t="s">
        <v>73</v>
      </c>
      <c r="D132" s="175" t="s">
        <v>77</v>
      </c>
      <c r="E132" s="434">
        <v>1</v>
      </c>
      <c r="F132" s="435">
        <v>0.37</v>
      </c>
      <c r="G132" s="436">
        <f>E132*F132</f>
        <v>0.37</v>
      </c>
    </row>
    <row r="133" spans="1:7" ht="25.5">
      <c r="A133" s="173" t="s">
        <v>80</v>
      </c>
      <c r="B133" s="174" t="s">
        <v>81</v>
      </c>
      <c r="C133" s="175" t="s">
        <v>73</v>
      </c>
      <c r="D133" s="175" t="s">
        <v>77</v>
      </c>
      <c r="E133" s="434">
        <v>1</v>
      </c>
      <c r="F133" s="435">
        <v>0.02</v>
      </c>
      <c r="G133" s="436">
        <f>E133*F133</f>
        <v>0.02</v>
      </c>
    </row>
    <row r="134" spans="1:7" ht="25.5">
      <c r="A134" s="173" t="s">
        <v>504</v>
      </c>
      <c r="B134" s="174" t="s">
        <v>505</v>
      </c>
      <c r="C134" s="175" t="s">
        <v>72</v>
      </c>
      <c r="D134" s="175" t="s">
        <v>77</v>
      </c>
      <c r="E134" s="434">
        <v>0.05</v>
      </c>
      <c r="F134" s="435">
        <v>0.84</v>
      </c>
      <c r="G134" s="436">
        <f>E134*F134</f>
        <v>0.042</v>
      </c>
    </row>
    <row r="135" spans="1:7" ht="51">
      <c r="A135" s="173" t="s">
        <v>506</v>
      </c>
      <c r="B135" s="174" t="s">
        <v>507</v>
      </c>
      <c r="C135" s="175" t="s">
        <v>72</v>
      </c>
      <c r="D135" s="175" t="s">
        <v>77</v>
      </c>
      <c r="E135" s="434">
        <v>1</v>
      </c>
      <c r="F135" s="435">
        <v>0.57</v>
      </c>
      <c r="G135" s="436">
        <f>E135*F135</f>
        <v>0.57</v>
      </c>
    </row>
    <row r="136" spans="1:7" ht="12.75">
      <c r="A136" s="783" t="s">
        <v>439</v>
      </c>
      <c r="B136" s="784"/>
      <c r="C136" s="784"/>
      <c r="D136" s="784"/>
      <c r="E136" s="784"/>
      <c r="F136" s="784"/>
      <c r="G136" s="440">
        <f>G135+G134+G131</f>
        <v>48.882000000000005</v>
      </c>
    </row>
    <row r="137" spans="1:7" ht="12.75">
      <c r="A137" s="783" t="s">
        <v>440</v>
      </c>
      <c r="B137" s="784"/>
      <c r="C137" s="784"/>
      <c r="D137" s="784"/>
      <c r="E137" s="784"/>
      <c r="F137" s="784"/>
      <c r="G137" s="440">
        <f>SUM(G132:G133)</f>
        <v>0.39</v>
      </c>
    </row>
    <row r="138" spans="1:7" ht="12.75">
      <c r="A138" s="783" t="s">
        <v>441</v>
      </c>
      <c r="B138" s="784"/>
      <c r="C138" s="784"/>
      <c r="D138" s="784"/>
      <c r="E138" s="784"/>
      <c r="F138" s="784"/>
      <c r="G138" s="440">
        <f>SUM(G136:G137)</f>
        <v>49.272000000000006</v>
      </c>
    </row>
    <row r="139" spans="1:7" ht="12.75">
      <c r="A139" s="783" t="s">
        <v>442</v>
      </c>
      <c r="B139" s="784"/>
      <c r="C139" s="784"/>
      <c r="D139" s="784"/>
      <c r="E139" s="784"/>
      <c r="F139" s="784"/>
      <c r="G139" s="440">
        <f>G136*85.16%</f>
        <v>41.6279112</v>
      </c>
    </row>
    <row r="140" spans="1:7" ht="12.75">
      <c r="A140" s="783" t="s">
        <v>443</v>
      </c>
      <c r="B140" s="784"/>
      <c r="C140" s="784"/>
      <c r="D140" s="784"/>
      <c r="E140" s="784"/>
      <c r="F140" s="784"/>
      <c r="G140" s="440">
        <f>G139</f>
        <v>41.6279112</v>
      </c>
    </row>
    <row r="141" spans="1:7" ht="12.75">
      <c r="A141" s="785" t="s">
        <v>444</v>
      </c>
      <c r="B141" s="786"/>
      <c r="C141" s="786"/>
      <c r="D141" s="786"/>
      <c r="E141" s="786"/>
      <c r="F141" s="787"/>
      <c r="G141" s="440">
        <f>G137</f>
        <v>0.39</v>
      </c>
    </row>
    <row r="142" spans="1:7" ht="12.75">
      <c r="A142" s="785" t="s">
        <v>445</v>
      </c>
      <c r="B142" s="786"/>
      <c r="C142" s="786"/>
      <c r="D142" s="786"/>
      <c r="E142" s="786"/>
      <c r="F142" s="787"/>
      <c r="G142" s="440">
        <f>G136+G140</f>
        <v>90.5099112</v>
      </c>
    </row>
    <row r="143" spans="1:7" ht="12.75">
      <c r="A143" s="785" t="s">
        <v>446</v>
      </c>
      <c r="B143" s="786"/>
      <c r="C143" s="786"/>
      <c r="D143" s="786"/>
      <c r="E143" s="786"/>
      <c r="F143" s="787"/>
      <c r="G143" s="440">
        <f>SUM(G141:G142)</f>
        <v>90.8999112</v>
      </c>
    </row>
    <row r="144" spans="1:7" ht="12.75">
      <c r="A144" s="796"/>
      <c r="B144" s="797"/>
      <c r="C144" s="797"/>
      <c r="D144" s="797"/>
      <c r="E144" s="797"/>
      <c r="F144" s="797"/>
      <c r="G144" s="798"/>
    </row>
    <row r="145" spans="1:7" ht="12.75">
      <c r="A145" s="591"/>
      <c r="B145" s="592"/>
      <c r="C145" s="592"/>
      <c r="D145" s="592"/>
      <c r="E145" s="592"/>
      <c r="F145" s="592"/>
      <c r="G145" s="593"/>
    </row>
    <row r="146" spans="1:7" ht="12.75">
      <c r="A146" s="170" t="s">
        <v>1466</v>
      </c>
      <c r="B146" s="703" t="s">
        <v>1467</v>
      </c>
      <c r="C146" s="595"/>
      <c r="D146" s="595"/>
      <c r="E146" s="595"/>
      <c r="F146" s="595"/>
      <c r="G146" s="596"/>
    </row>
    <row r="147" spans="1:7" ht="12.75">
      <c r="A147" s="170" t="s">
        <v>1822</v>
      </c>
      <c r="B147" s="592"/>
      <c r="C147" s="592"/>
      <c r="D147" s="592"/>
      <c r="E147" s="592"/>
      <c r="F147" s="592"/>
      <c r="G147" s="593"/>
    </row>
    <row r="148" spans="1:7" ht="25.5">
      <c r="A148" s="468" t="s">
        <v>1260</v>
      </c>
      <c r="B148" s="469" t="s">
        <v>508</v>
      </c>
      <c r="C148" s="470" t="s">
        <v>72</v>
      </c>
      <c r="D148" s="470" t="s">
        <v>77</v>
      </c>
      <c r="E148" s="471"/>
      <c r="F148" s="472"/>
      <c r="G148" s="473"/>
    </row>
    <row r="149" spans="1:7" ht="12.75">
      <c r="A149" s="474" t="s">
        <v>1177</v>
      </c>
      <c r="B149" s="475" t="s">
        <v>1178</v>
      </c>
      <c r="C149" s="476" t="s">
        <v>76</v>
      </c>
      <c r="D149" s="476" t="s">
        <v>77</v>
      </c>
      <c r="E149" s="471">
        <v>1</v>
      </c>
      <c r="F149" s="472">
        <f>(5285.02)/(1+49.52/100)</f>
        <v>3534.657570893526</v>
      </c>
      <c r="G149" s="473">
        <f>F149*E149</f>
        <v>3534.657570893526</v>
      </c>
    </row>
    <row r="150" spans="1:7" ht="25.5">
      <c r="A150" s="474" t="s">
        <v>1179</v>
      </c>
      <c r="B150" s="475" t="s">
        <v>1180</v>
      </c>
      <c r="C150" s="476" t="s">
        <v>73</v>
      </c>
      <c r="D150" s="476" t="s">
        <v>77</v>
      </c>
      <c r="E150" s="471">
        <v>1</v>
      </c>
      <c r="F150" s="472">
        <v>69.24</v>
      </c>
      <c r="G150" s="473">
        <f>F150*E150</f>
        <v>69.24</v>
      </c>
    </row>
    <row r="151" spans="1:7" ht="25.5">
      <c r="A151" s="474" t="s">
        <v>1182</v>
      </c>
      <c r="B151" s="475" t="s">
        <v>1181</v>
      </c>
      <c r="C151" s="476" t="s">
        <v>73</v>
      </c>
      <c r="D151" s="476" t="s">
        <v>77</v>
      </c>
      <c r="E151" s="471">
        <v>1</v>
      </c>
      <c r="F151" s="472">
        <v>3.94</v>
      </c>
      <c r="G151" s="473">
        <f>F151*E151</f>
        <v>3.94</v>
      </c>
    </row>
    <row r="152" spans="1:7" ht="25.5">
      <c r="A152" s="474" t="s">
        <v>1183</v>
      </c>
      <c r="B152" s="475" t="s">
        <v>1185</v>
      </c>
      <c r="C152" s="476" t="s">
        <v>72</v>
      </c>
      <c r="D152" s="476" t="s">
        <v>77</v>
      </c>
      <c r="E152" s="471">
        <v>0.05</v>
      </c>
      <c r="F152" s="472">
        <v>156.21</v>
      </c>
      <c r="G152" s="473">
        <f>F152*E152</f>
        <v>7.810500000000001</v>
      </c>
    </row>
    <row r="153" spans="1:7" ht="38.25">
      <c r="A153" s="474" t="s">
        <v>1184</v>
      </c>
      <c r="B153" s="475" t="s">
        <v>1186</v>
      </c>
      <c r="C153" s="476" t="s">
        <v>72</v>
      </c>
      <c r="D153" s="476" t="s">
        <v>77</v>
      </c>
      <c r="E153" s="471">
        <v>1</v>
      </c>
      <c r="F153" s="472">
        <f>(68.7)/(1+49.52/100)</f>
        <v>45.947030497592294</v>
      </c>
      <c r="G153" s="473">
        <f>F153*E153</f>
        <v>45.947030497592294</v>
      </c>
    </row>
    <row r="154" spans="1:7" ht="12.75">
      <c r="A154" s="836" t="s">
        <v>439</v>
      </c>
      <c r="B154" s="837"/>
      <c r="C154" s="837"/>
      <c r="D154" s="837"/>
      <c r="E154" s="837"/>
      <c r="F154" s="837"/>
      <c r="G154" s="477">
        <f>G149+G153</f>
        <v>3580.604601391118</v>
      </c>
    </row>
    <row r="155" spans="1:7" ht="12.75">
      <c r="A155" s="836" t="s">
        <v>440</v>
      </c>
      <c r="B155" s="837"/>
      <c r="C155" s="837"/>
      <c r="D155" s="837"/>
      <c r="E155" s="837"/>
      <c r="F155" s="837"/>
      <c r="G155" s="477">
        <f>G151+G150+G152</f>
        <v>80.9905</v>
      </c>
    </row>
    <row r="156" spans="1:7" ht="12.75">
      <c r="A156" s="836" t="s">
        <v>441</v>
      </c>
      <c r="B156" s="837"/>
      <c r="C156" s="837"/>
      <c r="D156" s="837"/>
      <c r="E156" s="837"/>
      <c r="F156" s="837"/>
      <c r="G156" s="477">
        <f>G155+G154</f>
        <v>3661.595101391118</v>
      </c>
    </row>
    <row r="157" spans="1:7" ht="12.75">
      <c r="A157" s="836" t="s">
        <v>1153</v>
      </c>
      <c r="B157" s="837"/>
      <c r="C157" s="837"/>
      <c r="D157" s="837"/>
      <c r="E157" s="837"/>
      <c r="F157" s="837"/>
      <c r="G157" s="477">
        <f>G154*(1.4952)</f>
        <v>5353.72</v>
      </c>
    </row>
    <row r="158" spans="1:7" ht="12.75">
      <c r="A158" s="836" t="s">
        <v>443</v>
      </c>
      <c r="B158" s="837"/>
      <c r="C158" s="837"/>
      <c r="D158" s="837"/>
      <c r="E158" s="837"/>
      <c r="F158" s="837"/>
      <c r="G158" s="477">
        <f>G157</f>
        <v>5353.72</v>
      </c>
    </row>
    <row r="159" spans="1:7" ht="12.75">
      <c r="A159" s="838" t="s">
        <v>444</v>
      </c>
      <c r="B159" s="839"/>
      <c r="C159" s="839"/>
      <c r="D159" s="839"/>
      <c r="E159" s="839"/>
      <c r="F159" s="840"/>
      <c r="G159" s="477">
        <f>G155</f>
        <v>80.9905</v>
      </c>
    </row>
    <row r="160" spans="1:7" ht="12.75">
      <c r="A160" s="838" t="s">
        <v>445</v>
      </c>
      <c r="B160" s="839"/>
      <c r="C160" s="839"/>
      <c r="D160" s="839"/>
      <c r="E160" s="839"/>
      <c r="F160" s="840"/>
      <c r="G160" s="477">
        <f>G157</f>
        <v>5353.72</v>
      </c>
    </row>
    <row r="161" spans="1:7" ht="12.75">
      <c r="A161" s="838" t="s">
        <v>446</v>
      </c>
      <c r="B161" s="839"/>
      <c r="C161" s="839"/>
      <c r="D161" s="839"/>
      <c r="E161" s="839"/>
      <c r="F161" s="840"/>
      <c r="G161" s="477">
        <f>G160+G159</f>
        <v>5434.7105</v>
      </c>
    </row>
    <row r="162" spans="1:7" ht="12.75">
      <c r="A162" s="796"/>
      <c r="B162" s="797"/>
      <c r="C162" s="797"/>
      <c r="D162" s="797"/>
      <c r="E162" s="797"/>
      <c r="F162" s="797"/>
      <c r="G162" s="798"/>
    </row>
    <row r="163" spans="1:7" ht="12.75">
      <c r="A163" s="804"/>
      <c r="B163" s="805"/>
      <c r="C163" s="805"/>
      <c r="D163" s="805"/>
      <c r="E163" s="805"/>
      <c r="F163" s="805"/>
      <c r="G163" s="806"/>
    </row>
    <row r="164" spans="1:7" ht="12.75" customHeight="1">
      <c r="A164" s="170" t="s">
        <v>1580</v>
      </c>
      <c r="B164" s="791" t="s">
        <v>1581</v>
      </c>
      <c r="C164" s="792"/>
      <c r="D164" s="170"/>
      <c r="E164" s="170"/>
      <c r="F164" s="170"/>
      <c r="G164" s="170"/>
    </row>
    <row r="165" spans="1:7" ht="12.75">
      <c r="A165" s="170" t="s">
        <v>1582</v>
      </c>
      <c r="B165" s="170" t="s">
        <v>1583</v>
      </c>
      <c r="C165" s="170"/>
      <c r="D165" s="170"/>
      <c r="E165" s="170"/>
      <c r="F165" s="170"/>
      <c r="G165" s="170"/>
    </row>
    <row r="166" spans="1:7" ht="12.75">
      <c r="A166" s="170" t="s">
        <v>1644</v>
      </c>
      <c r="B166" s="170"/>
      <c r="C166" s="170"/>
      <c r="D166" s="170"/>
      <c r="E166" s="170"/>
      <c r="F166" s="170"/>
      <c r="G166" s="170"/>
    </row>
    <row r="167" spans="1:7" ht="38.25">
      <c r="A167" s="171" t="s">
        <v>509</v>
      </c>
      <c r="B167" s="182" t="s">
        <v>510</v>
      </c>
      <c r="C167" s="172" t="s">
        <v>72</v>
      </c>
      <c r="D167" s="172" t="s">
        <v>75</v>
      </c>
      <c r="E167" s="373"/>
      <c r="F167" s="374"/>
      <c r="G167" s="375"/>
    </row>
    <row r="168" spans="1:7" ht="38.25">
      <c r="A168" s="173" t="s">
        <v>486</v>
      </c>
      <c r="B168" s="174" t="s">
        <v>487</v>
      </c>
      <c r="C168" s="175" t="s">
        <v>72</v>
      </c>
      <c r="D168" s="175" t="s">
        <v>488</v>
      </c>
      <c r="E168" s="434">
        <v>0.587</v>
      </c>
      <c r="F168" s="435">
        <v>13.33</v>
      </c>
      <c r="G168" s="436">
        <f>E168*F168</f>
        <v>7.82471</v>
      </c>
    </row>
    <row r="169" spans="1:7" ht="38.25">
      <c r="A169" s="173" t="s">
        <v>489</v>
      </c>
      <c r="B169" s="174" t="s">
        <v>490</v>
      </c>
      <c r="C169" s="175" t="s">
        <v>72</v>
      </c>
      <c r="D169" s="175" t="s">
        <v>491</v>
      </c>
      <c r="E169" s="434">
        <v>1.29</v>
      </c>
      <c r="F169" s="435">
        <v>12.01</v>
      </c>
      <c r="G169" s="436">
        <f>E169*F169</f>
        <v>15.4929</v>
      </c>
    </row>
    <row r="170" spans="1:7" ht="38.25">
      <c r="A170" s="173" t="s">
        <v>492</v>
      </c>
      <c r="B170" s="174" t="s">
        <v>493</v>
      </c>
      <c r="C170" s="175" t="s">
        <v>72</v>
      </c>
      <c r="D170" s="175" t="s">
        <v>77</v>
      </c>
      <c r="E170" s="434">
        <v>0.293</v>
      </c>
      <c r="F170" s="435">
        <v>12.86</v>
      </c>
      <c r="G170" s="436">
        <f>E170*F170</f>
        <v>3.7679799999999997</v>
      </c>
    </row>
    <row r="171" spans="1:7" ht="25.5">
      <c r="A171" s="173" t="s">
        <v>494</v>
      </c>
      <c r="B171" s="174" t="s">
        <v>495</v>
      </c>
      <c r="C171" s="175" t="s">
        <v>72</v>
      </c>
      <c r="D171" s="175" t="s">
        <v>77</v>
      </c>
      <c r="E171" s="434">
        <v>1.877</v>
      </c>
      <c r="F171" s="435">
        <v>15.12</v>
      </c>
      <c r="G171" s="436">
        <f>E171*F171</f>
        <v>28.380239999999997</v>
      </c>
    </row>
    <row r="172" spans="1:7" ht="12.75">
      <c r="A172" s="783" t="s">
        <v>439</v>
      </c>
      <c r="B172" s="784"/>
      <c r="C172" s="784"/>
      <c r="D172" s="784"/>
      <c r="E172" s="784"/>
      <c r="F172" s="784"/>
      <c r="G172" s="440">
        <f>SUM(G170:G171)</f>
        <v>32.148219999999995</v>
      </c>
    </row>
    <row r="173" spans="1:7" ht="12.75">
      <c r="A173" s="783" t="s">
        <v>440</v>
      </c>
      <c r="B173" s="784"/>
      <c r="C173" s="784"/>
      <c r="D173" s="784"/>
      <c r="E173" s="784"/>
      <c r="F173" s="784"/>
      <c r="G173" s="440">
        <f>SUM(G168:G169)</f>
        <v>23.317610000000002</v>
      </c>
    </row>
    <row r="174" spans="1:7" ht="12.75">
      <c r="A174" s="783" t="s">
        <v>441</v>
      </c>
      <c r="B174" s="784"/>
      <c r="C174" s="784"/>
      <c r="D174" s="784"/>
      <c r="E174" s="784"/>
      <c r="F174" s="784"/>
      <c r="G174" s="440">
        <f>SUM(G172:G173)</f>
        <v>55.46583</v>
      </c>
    </row>
    <row r="175" spans="1:7" ht="12.75">
      <c r="A175" s="783" t="s">
        <v>442</v>
      </c>
      <c r="B175" s="784"/>
      <c r="C175" s="784"/>
      <c r="D175" s="784"/>
      <c r="E175" s="784"/>
      <c r="F175" s="784"/>
      <c r="G175" s="440">
        <f>G172*85.16%</f>
        <v>27.377424151999993</v>
      </c>
    </row>
    <row r="176" spans="1:7" ht="12.75">
      <c r="A176" s="783" t="s">
        <v>443</v>
      </c>
      <c r="B176" s="784"/>
      <c r="C176" s="784"/>
      <c r="D176" s="784"/>
      <c r="E176" s="784"/>
      <c r="F176" s="784"/>
      <c r="G176" s="440">
        <f>G175</f>
        <v>27.377424151999993</v>
      </c>
    </row>
    <row r="177" spans="1:7" ht="12.75">
      <c r="A177" s="785" t="s">
        <v>444</v>
      </c>
      <c r="B177" s="786"/>
      <c r="C177" s="786"/>
      <c r="D177" s="786"/>
      <c r="E177" s="786"/>
      <c r="F177" s="787"/>
      <c r="G177" s="440">
        <f>G173</f>
        <v>23.317610000000002</v>
      </c>
    </row>
    <row r="178" spans="1:7" ht="12.75">
      <c r="A178" s="785" t="s">
        <v>445</v>
      </c>
      <c r="B178" s="786"/>
      <c r="C178" s="786"/>
      <c r="D178" s="786"/>
      <c r="E178" s="786"/>
      <c r="F178" s="787"/>
      <c r="G178" s="440">
        <f>G172+G176</f>
        <v>59.525644151999984</v>
      </c>
    </row>
    <row r="179" spans="1:7" ht="12.75">
      <c r="A179" s="785" t="s">
        <v>446</v>
      </c>
      <c r="B179" s="786"/>
      <c r="C179" s="786"/>
      <c r="D179" s="786"/>
      <c r="E179" s="786"/>
      <c r="F179" s="787"/>
      <c r="G179" s="440">
        <f>SUM(G177:G178)</f>
        <v>82.84325415199999</v>
      </c>
    </row>
    <row r="180" spans="1:7" ht="12.75">
      <c r="A180" s="796"/>
      <c r="B180" s="797"/>
      <c r="C180" s="797"/>
      <c r="D180" s="797"/>
      <c r="E180" s="797"/>
      <c r="F180" s="797"/>
      <c r="G180" s="798"/>
    </row>
    <row r="181" spans="1:7" ht="12.75">
      <c r="A181" s="591"/>
      <c r="B181" s="592"/>
      <c r="C181" s="592"/>
      <c r="D181" s="592"/>
      <c r="E181" s="592"/>
      <c r="F181" s="592"/>
      <c r="G181" s="593"/>
    </row>
    <row r="182" spans="1:7" ht="12.75">
      <c r="A182" s="170" t="s">
        <v>1587</v>
      </c>
      <c r="B182" s="170" t="s">
        <v>1620</v>
      </c>
      <c r="C182" s="592"/>
      <c r="D182" s="592"/>
      <c r="E182" s="592"/>
      <c r="F182" s="592"/>
      <c r="G182" s="593"/>
    </row>
    <row r="183" spans="1:7" ht="12.75">
      <c r="A183" s="170" t="s">
        <v>1658</v>
      </c>
      <c r="B183" s="170"/>
      <c r="C183" s="600"/>
      <c r="D183" s="600"/>
      <c r="E183" s="600"/>
      <c r="F183" s="600"/>
      <c r="G183" s="601"/>
    </row>
    <row r="184" spans="1:7" ht="51">
      <c r="A184" s="171" t="s">
        <v>496</v>
      </c>
      <c r="B184" s="182" t="s">
        <v>497</v>
      </c>
      <c r="C184" s="172" t="s">
        <v>72</v>
      </c>
      <c r="D184" s="172" t="s">
        <v>71</v>
      </c>
      <c r="E184" s="373"/>
      <c r="F184" s="374"/>
      <c r="G184" s="375"/>
    </row>
    <row r="185" spans="1:7" ht="38.25">
      <c r="A185" s="173" t="s">
        <v>492</v>
      </c>
      <c r="B185" s="174" t="s">
        <v>493</v>
      </c>
      <c r="C185" s="175" t="s">
        <v>72</v>
      </c>
      <c r="D185" s="175" t="s">
        <v>77</v>
      </c>
      <c r="E185" s="434">
        <v>0.076</v>
      </c>
      <c r="F185" s="435">
        <v>12.86</v>
      </c>
      <c r="G185" s="436">
        <f>E185*F185</f>
        <v>0.9773599999999999</v>
      </c>
    </row>
    <row r="186" spans="1:7" ht="25.5">
      <c r="A186" s="173" t="s">
        <v>494</v>
      </c>
      <c r="B186" s="174" t="s">
        <v>495</v>
      </c>
      <c r="C186" s="175" t="s">
        <v>72</v>
      </c>
      <c r="D186" s="175" t="s">
        <v>77</v>
      </c>
      <c r="E186" s="434">
        <v>0.483</v>
      </c>
      <c r="F186" s="435">
        <v>15.12</v>
      </c>
      <c r="G186" s="436">
        <f>E186*F186</f>
        <v>7.30296</v>
      </c>
    </row>
    <row r="187" spans="1:7" ht="12.75">
      <c r="A187" s="783" t="s">
        <v>439</v>
      </c>
      <c r="B187" s="784"/>
      <c r="C187" s="784"/>
      <c r="D187" s="784"/>
      <c r="E187" s="784"/>
      <c r="F187" s="784"/>
      <c r="G187" s="440">
        <f>SUM(G185:G186)</f>
        <v>8.28032</v>
      </c>
    </row>
    <row r="188" spans="1:7" ht="12.75">
      <c r="A188" s="783" t="s">
        <v>440</v>
      </c>
      <c r="B188" s="784"/>
      <c r="C188" s="784"/>
      <c r="D188" s="784"/>
      <c r="E188" s="784"/>
      <c r="F188" s="784"/>
      <c r="G188" s="440">
        <v>0</v>
      </c>
    </row>
    <row r="189" spans="1:7" ht="12.75">
      <c r="A189" s="783" t="s">
        <v>441</v>
      </c>
      <c r="B189" s="784"/>
      <c r="C189" s="784"/>
      <c r="D189" s="784"/>
      <c r="E189" s="784"/>
      <c r="F189" s="784"/>
      <c r="G189" s="440">
        <f>SUM(G187:G188)</f>
        <v>8.28032</v>
      </c>
    </row>
    <row r="190" spans="1:7" ht="12.75">
      <c r="A190" s="783" t="s">
        <v>442</v>
      </c>
      <c r="B190" s="784"/>
      <c r="C190" s="784"/>
      <c r="D190" s="784"/>
      <c r="E190" s="784"/>
      <c r="F190" s="784"/>
      <c r="G190" s="440">
        <f>G187*85.16%</f>
        <v>7.051520511999999</v>
      </c>
    </row>
    <row r="191" spans="1:7" ht="12.75">
      <c r="A191" s="783" t="s">
        <v>443</v>
      </c>
      <c r="B191" s="784"/>
      <c r="C191" s="784"/>
      <c r="D191" s="784"/>
      <c r="E191" s="784"/>
      <c r="F191" s="784"/>
      <c r="G191" s="440">
        <f>G190</f>
        <v>7.051520511999999</v>
      </c>
    </row>
    <row r="192" spans="1:7" ht="12.75">
      <c r="A192" s="785" t="s">
        <v>444</v>
      </c>
      <c r="B192" s="786"/>
      <c r="C192" s="786"/>
      <c r="D192" s="786"/>
      <c r="E192" s="786"/>
      <c r="F192" s="787"/>
      <c r="G192" s="440">
        <f>G188</f>
        <v>0</v>
      </c>
    </row>
    <row r="193" spans="1:7" ht="12.75">
      <c r="A193" s="785" t="s">
        <v>445</v>
      </c>
      <c r="B193" s="786"/>
      <c r="C193" s="786"/>
      <c r="D193" s="786"/>
      <c r="E193" s="786"/>
      <c r="F193" s="787"/>
      <c r="G193" s="440">
        <f>G187+G191</f>
        <v>15.331840512</v>
      </c>
    </row>
    <row r="194" spans="1:7" ht="12.75">
      <c r="A194" s="785" t="s">
        <v>446</v>
      </c>
      <c r="B194" s="786"/>
      <c r="C194" s="786"/>
      <c r="D194" s="786"/>
      <c r="E194" s="786"/>
      <c r="F194" s="787"/>
      <c r="G194" s="440">
        <f>SUM(G192:G193)</f>
        <v>15.331840512</v>
      </c>
    </row>
    <row r="195" spans="1:7" ht="12.75">
      <c r="A195" s="796"/>
      <c r="B195" s="797"/>
      <c r="C195" s="797"/>
      <c r="D195" s="797"/>
      <c r="E195" s="797"/>
      <c r="F195" s="797"/>
      <c r="G195" s="798"/>
    </row>
    <row r="196" spans="1:7" ht="12.75">
      <c r="A196" s="170" t="s">
        <v>1586</v>
      </c>
      <c r="B196" s="170" t="s">
        <v>176</v>
      </c>
      <c r="C196" s="170"/>
      <c r="D196" s="170"/>
      <c r="E196" s="170"/>
      <c r="F196" s="170"/>
      <c r="G196" s="170"/>
    </row>
    <row r="197" spans="1:7" ht="12.75">
      <c r="A197" s="170" t="s">
        <v>1657</v>
      </c>
      <c r="B197" s="170"/>
      <c r="C197" s="170"/>
      <c r="D197" s="170"/>
      <c r="E197" s="170"/>
      <c r="F197" s="170"/>
      <c r="G197" s="170"/>
    </row>
    <row r="198" spans="1:7" ht="6" customHeight="1">
      <c r="A198" s="804"/>
      <c r="B198" s="805"/>
      <c r="C198" s="805"/>
      <c r="D198" s="805"/>
      <c r="E198" s="805"/>
      <c r="F198" s="805"/>
      <c r="G198" s="806"/>
    </row>
    <row r="199" spans="1:7" ht="38.25">
      <c r="A199" s="171" t="s">
        <v>484</v>
      </c>
      <c r="B199" s="182" t="s">
        <v>485</v>
      </c>
      <c r="C199" s="172" t="s">
        <v>72</v>
      </c>
      <c r="D199" s="172" t="s">
        <v>71</v>
      </c>
      <c r="E199" s="373"/>
      <c r="F199" s="374"/>
      <c r="G199" s="375"/>
    </row>
    <row r="200" spans="1:7" ht="38.25">
      <c r="A200" s="173" t="s">
        <v>486</v>
      </c>
      <c r="B200" s="174" t="s">
        <v>487</v>
      </c>
      <c r="C200" s="175" t="s">
        <v>72</v>
      </c>
      <c r="D200" s="175" t="s">
        <v>488</v>
      </c>
      <c r="E200" s="434">
        <v>0.183</v>
      </c>
      <c r="F200" s="435">
        <v>13.33</v>
      </c>
      <c r="G200" s="436">
        <f>E200*F200</f>
        <v>2.43939</v>
      </c>
    </row>
    <row r="201" spans="1:7" ht="38.25">
      <c r="A201" s="173" t="s">
        <v>489</v>
      </c>
      <c r="B201" s="174" t="s">
        <v>490</v>
      </c>
      <c r="C201" s="175" t="s">
        <v>72</v>
      </c>
      <c r="D201" s="175" t="s">
        <v>491</v>
      </c>
      <c r="E201" s="434">
        <v>0.401</v>
      </c>
      <c r="F201" s="435">
        <v>12.01</v>
      </c>
      <c r="G201" s="436">
        <f>E201*F201</f>
        <v>4.81601</v>
      </c>
    </row>
    <row r="202" spans="1:7" ht="38.25">
      <c r="A202" s="173" t="s">
        <v>492</v>
      </c>
      <c r="B202" s="174" t="s">
        <v>493</v>
      </c>
      <c r="C202" s="175" t="s">
        <v>72</v>
      </c>
      <c r="D202" s="175" t="s">
        <v>77</v>
      </c>
      <c r="E202" s="434">
        <v>0.091</v>
      </c>
      <c r="F202" s="435">
        <v>12.86</v>
      </c>
      <c r="G202" s="436">
        <f>E202*F202</f>
        <v>1.1702599999999999</v>
      </c>
    </row>
    <row r="203" spans="1:7" ht="25.5">
      <c r="A203" s="173" t="s">
        <v>494</v>
      </c>
      <c r="B203" s="174" t="s">
        <v>495</v>
      </c>
      <c r="C203" s="175" t="s">
        <v>72</v>
      </c>
      <c r="D203" s="175" t="s">
        <v>77</v>
      </c>
      <c r="E203" s="434">
        <v>0.583</v>
      </c>
      <c r="F203" s="435">
        <v>15.12</v>
      </c>
      <c r="G203" s="436">
        <f>E203*F203</f>
        <v>8.81496</v>
      </c>
    </row>
    <row r="204" spans="1:7" ht="12.75">
      <c r="A204" s="783" t="s">
        <v>439</v>
      </c>
      <c r="B204" s="784"/>
      <c r="C204" s="784"/>
      <c r="D204" s="784"/>
      <c r="E204" s="784"/>
      <c r="F204" s="784"/>
      <c r="G204" s="440">
        <f>SUM(G202:G203)</f>
        <v>9.985219999999998</v>
      </c>
    </row>
    <row r="205" spans="1:7" ht="12.75">
      <c r="A205" s="783" t="s">
        <v>440</v>
      </c>
      <c r="B205" s="784"/>
      <c r="C205" s="784"/>
      <c r="D205" s="784"/>
      <c r="E205" s="784"/>
      <c r="F205" s="784"/>
      <c r="G205" s="440">
        <f>SUM(G200:G201)</f>
        <v>7.2554</v>
      </c>
    </row>
    <row r="206" spans="1:7" ht="12.75">
      <c r="A206" s="783" t="s">
        <v>441</v>
      </c>
      <c r="B206" s="784"/>
      <c r="C206" s="784"/>
      <c r="D206" s="784"/>
      <c r="E206" s="784"/>
      <c r="F206" s="784"/>
      <c r="G206" s="440">
        <f>SUM(G204:G205)</f>
        <v>17.24062</v>
      </c>
    </row>
    <row r="207" spans="1:7" ht="12.75">
      <c r="A207" s="783" t="s">
        <v>442</v>
      </c>
      <c r="B207" s="784"/>
      <c r="C207" s="784"/>
      <c r="D207" s="784"/>
      <c r="E207" s="784"/>
      <c r="F207" s="784"/>
      <c r="G207" s="440">
        <f>G204*85.16%</f>
        <v>8.503413351999997</v>
      </c>
    </row>
    <row r="208" spans="1:7" ht="12.75">
      <c r="A208" s="783" t="s">
        <v>443</v>
      </c>
      <c r="B208" s="784"/>
      <c r="C208" s="784"/>
      <c r="D208" s="784"/>
      <c r="E208" s="784"/>
      <c r="F208" s="784"/>
      <c r="G208" s="440">
        <f>G207</f>
        <v>8.503413351999997</v>
      </c>
    </row>
    <row r="209" spans="1:7" ht="12.75">
      <c r="A209" s="785" t="s">
        <v>444</v>
      </c>
      <c r="B209" s="786"/>
      <c r="C209" s="786"/>
      <c r="D209" s="786"/>
      <c r="E209" s="786"/>
      <c r="F209" s="787"/>
      <c r="G209" s="440">
        <f>G205</f>
        <v>7.2554</v>
      </c>
    </row>
    <row r="210" spans="1:7" ht="12.75">
      <c r="A210" s="785" t="s">
        <v>445</v>
      </c>
      <c r="B210" s="786"/>
      <c r="C210" s="786"/>
      <c r="D210" s="786"/>
      <c r="E210" s="786"/>
      <c r="F210" s="787"/>
      <c r="G210" s="440">
        <f>G204+G208</f>
        <v>18.488633351999994</v>
      </c>
    </row>
    <row r="211" spans="1:7" ht="12.75">
      <c r="A211" s="785" t="s">
        <v>446</v>
      </c>
      <c r="B211" s="786"/>
      <c r="C211" s="786"/>
      <c r="D211" s="786"/>
      <c r="E211" s="786"/>
      <c r="F211" s="787"/>
      <c r="G211" s="440">
        <f>SUM(G209:G210)</f>
        <v>25.744033351999995</v>
      </c>
    </row>
    <row r="212" spans="1:7" ht="12.75">
      <c r="A212" s="796"/>
      <c r="B212" s="797"/>
      <c r="C212" s="797"/>
      <c r="D212" s="797"/>
      <c r="E212" s="797"/>
      <c r="F212" s="797"/>
      <c r="G212" s="798"/>
    </row>
    <row r="213" spans="1:7" ht="12.75">
      <c r="A213" s="804"/>
      <c r="B213" s="805"/>
      <c r="C213" s="805"/>
      <c r="D213" s="805"/>
      <c r="E213" s="805"/>
      <c r="F213" s="805"/>
      <c r="G213" s="806"/>
    </row>
    <row r="214" spans="1:7" ht="12.75">
      <c r="A214" s="594"/>
      <c r="B214" s="595"/>
      <c r="C214" s="595"/>
      <c r="D214" s="595"/>
      <c r="E214" s="595"/>
      <c r="F214" s="595"/>
      <c r="G214" s="596"/>
    </row>
    <row r="215" spans="1:7" ht="12.75">
      <c r="A215" s="170" t="s">
        <v>1623</v>
      </c>
      <c r="B215" s="170" t="s">
        <v>1624</v>
      </c>
      <c r="C215" s="595"/>
      <c r="D215" s="595"/>
      <c r="E215" s="595"/>
      <c r="F215" s="595"/>
      <c r="G215" s="596"/>
    </row>
    <row r="216" spans="1:7" ht="12.75">
      <c r="A216" s="170" t="s">
        <v>1651</v>
      </c>
      <c r="B216" s="170"/>
      <c r="C216" s="595"/>
      <c r="D216" s="595"/>
      <c r="E216" s="595"/>
      <c r="F216" s="595"/>
      <c r="G216" s="596"/>
    </row>
    <row r="217" spans="1:7" ht="25.5">
      <c r="A217" s="171" t="s">
        <v>475</v>
      </c>
      <c r="B217" s="182" t="s">
        <v>476</v>
      </c>
      <c r="C217" s="172" t="s">
        <v>72</v>
      </c>
      <c r="D217" s="172" t="s">
        <v>477</v>
      </c>
      <c r="E217" s="373"/>
      <c r="F217" s="374"/>
      <c r="G217" s="375"/>
    </row>
    <row r="218" spans="1:7" ht="25.5">
      <c r="A218" s="173" t="s">
        <v>437</v>
      </c>
      <c r="B218" s="174" t="s">
        <v>438</v>
      </c>
      <c r="C218" s="175" t="s">
        <v>72</v>
      </c>
      <c r="D218" s="175" t="s">
        <v>77</v>
      </c>
      <c r="E218" s="434">
        <v>2.5</v>
      </c>
      <c r="F218" s="435">
        <v>12.64</v>
      </c>
      <c r="G218" s="436">
        <f>E218*F218</f>
        <v>31.6</v>
      </c>
    </row>
    <row r="219" spans="1:7" ht="12.75">
      <c r="A219" s="783" t="s">
        <v>439</v>
      </c>
      <c r="B219" s="784"/>
      <c r="C219" s="784"/>
      <c r="D219" s="784"/>
      <c r="E219" s="784"/>
      <c r="F219" s="784"/>
      <c r="G219" s="440">
        <f>SUM(G217:G218)</f>
        <v>31.6</v>
      </c>
    </row>
    <row r="220" spans="1:7" ht="12.75">
      <c r="A220" s="783" t="s">
        <v>440</v>
      </c>
      <c r="B220" s="784"/>
      <c r="C220" s="784"/>
      <c r="D220" s="784"/>
      <c r="E220" s="784"/>
      <c r="F220" s="784"/>
      <c r="G220" s="440">
        <f>0</f>
        <v>0</v>
      </c>
    </row>
    <row r="221" spans="1:7" ht="12.75">
      <c r="A221" s="783" t="s">
        <v>441</v>
      </c>
      <c r="B221" s="784"/>
      <c r="C221" s="784"/>
      <c r="D221" s="784"/>
      <c r="E221" s="784"/>
      <c r="F221" s="784"/>
      <c r="G221" s="440">
        <f>SUM(G219:G220)</f>
        <v>31.6</v>
      </c>
    </row>
    <row r="222" spans="1:7" ht="12.75">
      <c r="A222" s="783" t="s">
        <v>442</v>
      </c>
      <c r="B222" s="784"/>
      <c r="C222" s="784"/>
      <c r="D222" s="784"/>
      <c r="E222" s="784"/>
      <c r="F222" s="784"/>
      <c r="G222" s="440">
        <f>G219*85.16%</f>
        <v>26.910559999999997</v>
      </c>
    </row>
    <row r="223" spans="1:7" ht="12.75">
      <c r="A223" s="783" t="s">
        <v>443</v>
      </c>
      <c r="B223" s="784"/>
      <c r="C223" s="784"/>
      <c r="D223" s="784"/>
      <c r="E223" s="784"/>
      <c r="F223" s="784"/>
      <c r="G223" s="440">
        <f>G222</f>
        <v>26.910559999999997</v>
      </c>
    </row>
    <row r="224" spans="1:7" ht="12.75">
      <c r="A224" s="785" t="s">
        <v>444</v>
      </c>
      <c r="B224" s="786"/>
      <c r="C224" s="786"/>
      <c r="D224" s="786"/>
      <c r="E224" s="786"/>
      <c r="F224" s="787"/>
      <c r="G224" s="440">
        <f>G220</f>
        <v>0</v>
      </c>
    </row>
    <row r="225" spans="1:7" ht="12.75">
      <c r="A225" s="785" t="s">
        <v>445</v>
      </c>
      <c r="B225" s="786"/>
      <c r="C225" s="786"/>
      <c r="D225" s="786"/>
      <c r="E225" s="786"/>
      <c r="F225" s="787"/>
      <c r="G225" s="440">
        <f>G219+G223</f>
        <v>58.51056</v>
      </c>
    </row>
    <row r="226" spans="1:7" ht="12.75">
      <c r="A226" s="785" t="s">
        <v>446</v>
      </c>
      <c r="B226" s="786"/>
      <c r="C226" s="786"/>
      <c r="D226" s="786"/>
      <c r="E226" s="786"/>
      <c r="F226" s="787"/>
      <c r="G226" s="440">
        <f>SUM(G224:G225)</f>
        <v>58.51056</v>
      </c>
    </row>
    <row r="227" spans="1:7" ht="12.75">
      <c r="A227" s="796"/>
      <c r="B227" s="797"/>
      <c r="C227" s="797"/>
      <c r="D227" s="797"/>
      <c r="E227" s="797"/>
      <c r="F227" s="797"/>
      <c r="G227" s="798"/>
    </row>
    <row r="228" spans="1:7" ht="12.75">
      <c r="A228" s="804"/>
      <c r="B228" s="805"/>
      <c r="C228" s="805"/>
      <c r="D228" s="805"/>
      <c r="E228" s="805"/>
      <c r="F228" s="805"/>
      <c r="G228" s="806"/>
    </row>
    <row r="229" spans="1:7" ht="12.75">
      <c r="A229" s="704"/>
      <c r="B229" s="703"/>
      <c r="C229" s="703"/>
      <c r="D229" s="703"/>
      <c r="E229" s="703"/>
      <c r="F229" s="703"/>
      <c r="G229" s="705"/>
    </row>
    <row r="230" spans="1:7" ht="12.75">
      <c r="A230" s="704" t="s">
        <v>1586</v>
      </c>
      <c r="B230" s="703" t="s">
        <v>176</v>
      </c>
      <c r="C230" s="703"/>
      <c r="D230" s="703"/>
      <c r="E230" s="703"/>
      <c r="F230" s="703"/>
      <c r="G230" s="705"/>
    </row>
    <row r="231" spans="1:7" ht="12.75">
      <c r="A231" s="704" t="s">
        <v>1656</v>
      </c>
      <c r="B231" s="703"/>
      <c r="C231" s="703"/>
      <c r="D231" s="703"/>
      <c r="E231" s="703"/>
      <c r="F231" s="703"/>
      <c r="G231" s="705"/>
    </row>
    <row r="232" spans="1:7" ht="25.5">
      <c r="A232" s="171" t="s">
        <v>478</v>
      </c>
      <c r="B232" s="182" t="s">
        <v>479</v>
      </c>
      <c r="C232" s="172" t="s">
        <v>72</v>
      </c>
      <c r="D232" s="172" t="s">
        <v>82</v>
      </c>
      <c r="E232" s="373"/>
      <c r="F232" s="374"/>
      <c r="G232" s="375"/>
    </row>
    <row r="233" spans="1:7" ht="25.5">
      <c r="A233" s="173" t="s">
        <v>437</v>
      </c>
      <c r="B233" s="174" t="s">
        <v>438</v>
      </c>
      <c r="C233" s="175" t="s">
        <v>72</v>
      </c>
      <c r="D233" s="175" t="s">
        <v>77</v>
      </c>
      <c r="E233" s="434">
        <v>1.5</v>
      </c>
      <c r="F233" s="435">
        <v>12.65</v>
      </c>
      <c r="G233" s="436">
        <f>E233*F233</f>
        <v>18.975</v>
      </c>
    </row>
    <row r="234" spans="1:7" ht="12.75">
      <c r="A234" s="783" t="s">
        <v>439</v>
      </c>
      <c r="B234" s="784"/>
      <c r="C234" s="784"/>
      <c r="D234" s="784"/>
      <c r="E234" s="784"/>
      <c r="F234" s="784"/>
      <c r="G234" s="440">
        <f>SUM(G232:G233)</f>
        <v>18.975</v>
      </c>
    </row>
    <row r="235" spans="1:7" ht="12.75">
      <c r="A235" s="783" t="s">
        <v>440</v>
      </c>
      <c r="B235" s="784"/>
      <c r="C235" s="784"/>
      <c r="D235" s="784"/>
      <c r="E235" s="784"/>
      <c r="F235" s="784"/>
      <c r="G235" s="440">
        <f>0</f>
        <v>0</v>
      </c>
    </row>
    <row r="236" spans="1:7" ht="12.75">
      <c r="A236" s="783" t="s">
        <v>441</v>
      </c>
      <c r="B236" s="784"/>
      <c r="C236" s="784"/>
      <c r="D236" s="784"/>
      <c r="E236" s="784"/>
      <c r="F236" s="784"/>
      <c r="G236" s="440">
        <f>SUM(G234:G235)</f>
        <v>18.975</v>
      </c>
    </row>
    <row r="237" spans="1:7" ht="12.75">
      <c r="A237" s="783" t="s">
        <v>442</v>
      </c>
      <c r="B237" s="784"/>
      <c r="C237" s="784"/>
      <c r="D237" s="784"/>
      <c r="E237" s="784"/>
      <c r="F237" s="784"/>
      <c r="G237" s="440">
        <f>G234*85.16%</f>
        <v>16.15911</v>
      </c>
    </row>
    <row r="238" spans="1:7" ht="12.75">
      <c r="A238" s="783" t="s">
        <v>443</v>
      </c>
      <c r="B238" s="784"/>
      <c r="C238" s="784"/>
      <c r="D238" s="784"/>
      <c r="E238" s="784"/>
      <c r="F238" s="784"/>
      <c r="G238" s="440">
        <f>G237</f>
        <v>16.15911</v>
      </c>
    </row>
    <row r="239" spans="1:7" ht="12.75">
      <c r="A239" s="785" t="s">
        <v>444</v>
      </c>
      <c r="B239" s="786"/>
      <c r="C239" s="786"/>
      <c r="D239" s="786"/>
      <c r="E239" s="786"/>
      <c r="F239" s="787"/>
      <c r="G239" s="440">
        <f>G235</f>
        <v>0</v>
      </c>
    </row>
    <row r="240" spans="1:7" ht="12.75">
      <c r="A240" s="785" t="s">
        <v>445</v>
      </c>
      <c r="B240" s="786"/>
      <c r="C240" s="786"/>
      <c r="D240" s="786"/>
      <c r="E240" s="786"/>
      <c r="F240" s="787"/>
      <c r="G240" s="440">
        <f>G234+G238</f>
        <v>35.13411</v>
      </c>
    </row>
    <row r="241" spans="1:7" ht="12.75">
      <c r="A241" s="785" t="s">
        <v>446</v>
      </c>
      <c r="B241" s="786"/>
      <c r="C241" s="786"/>
      <c r="D241" s="786"/>
      <c r="E241" s="786"/>
      <c r="F241" s="787"/>
      <c r="G241" s="440">
        <f>SUM(G239:G240)</f>
        <v>35.13411</v>
      </c>
    </row>
    <row r="242" spans="1:7" ht="12.75">
      <c r="A242" s="796"/>
      <c r="B242" s="797"/>
      <c r="C242" s="797"/>
      <c r="D242" s="797"/>
      <c r="E242" s="797"/>
      <c r="F242" s="797"/>
      <c r="G242" s="798"/>
    </row>
    <row r="243" spans="1:7" ht="12.75">
      <c r="A243" s="591"/>
      <c r="B243" s="592"/>
      <c r="C243" s="592"/>
      <c r="D243" s="592"/>
      <c r="E243" s="592"/>
      <c r="F243" s="592"/>
      <c r="G243" s="593"/>
    </row>
    <row r="244" spans="1:7" ht="12.75">
      <c r="A244" s="704" t="s">
        <v>1661</v>
      </c>
      <c r="B244" s="704" t="s">
        <v>1662</v>
      </c>
      <c r="C244" s="592"/>
      <c r="D244" s="592"/>
      <c r="E244" s="592"/>
      <c r="F244" s="592"/>
      <c r="G244" s="593"/>
    </row>
    <row r="245" spans="1:7" ht="12.75">
      <c r="A245" s="704" t="s">
        <v>1663</v>
      </c>
      <c r="B245" s="704"/>
      <c r="C245" s="592"/>
      <c r="D245" s="592"/>
      <c r="E245" s="592"/>
      <c r="F245" s="592"/>
      <c r="G245" s="593"/>
    </row>
    <row r="246" spans="1:7" ht="25.5">
      <c r="A246" s="171" t="s">
        <v>462</v>
      </c>
      <c r="B246" s="182" t="s">
        <v>130</v>
      </c>
      <c r="C246" s="172" t="s">
        <v>72</v>
      </c>
      <c r="D246" s="172" t="s">
        <v>75</v>
      </c>
      <c r="E246" s="373"/>
      <c r="F246" s="374"/>
      <c r="G246" s="375"/>
    </row>
    <row r="247" spans="1:7" ht="25.5">
      <c r="A247" s="173" t="s">
        <v>463</v>
      </c>
      <c r="B247" s="174" t="s">
        <v>464</v>
      </c>
      <c r="C247" s="175" t="s">
        <v>72</v>
      </c>
      <c r="D247" s="175" t="s">
        <v>77</v>
      </c>
      <c r="E247" s="434">
        <v>0.5</v>
      </c>
      <c r="F247" s="435">
        <v>14.17</v>
      </c>
      <c r="G247" s="436">
        <f>E247*F247</f>
        <v>7.085</v>
      </c>
    </row>
    <row r="248" spans="1:7" ht="25.5">
      <c r="A248" s="173" t="s">
        <v>437</v>
      </c>
      <c r="B248" s="174" t="s">
        <v>438</v>
      </c>
      <c r="C248" s="175" t="s">
        <v>72</v>
      </c>
      <c r="D248" s="175" t="s">
        <v>77</v>
      </c>
      <c r="E248" s="434">
        <v>0.5</v>
      </c>
      <c r="F248" s="435">
        <v>12.65</v>
      </c>
      <c r="G248" s="436">
        <f>E248*F248</f>
        <v>6.325</v>
      </c>
    </row>
    <row r="249" spans="1:7" ht="12.75">
      <c r="A249" s="783" t="s">
        <v>439</v>
      </c>
      <c r="B249" s="784"/>
      <c r="C249" s="784"/>
      <c r="D249" s="784"/>
      <c r="E249" s="784"/>
      <c r="F249" s="784"/>
      <c r="G249" s="440">
        <f>SUM(G247:G248)</f>
        <v>13.41</v>
      </c>
    </row>
    <row r="250" spans="1:7" ht="12.75">
      <c r="A250" s="783" t="s">
        <v>440</v>
      </c>
      <c r="B250" s="784"/>
      <c r="C250" s="784"/>
      <c r="D250" s="784"/>
      <c r="E250" s="784"/>
      <c r="F250" s="784"/>
      <c r="G250" s="440">
        <f>0</f>
        <v>0</v>
      </c>
    </row>
    <row r="251" spans="1:7" ht="12.75">
      <c r="A251" s="783" t="s">
        <v>441</v>
      </c>
      <c r="B251" s="784"/>
      <c r="C251" s="784"/>
      <c r="D251" s="784"/>
      <c r="E251" s="784"/>
      <c r="F251" s="784"/>
      <c r="G251" s="440">
        <f>SUM(G249:G250)</f>
        <v>13.41</v>
      </c>
    </row>
    <row r="252" spans="1:7" ht="12.75">
      <c r="A252" s="783" t="s">
        <v>442</v>
      </c>
      <c r="B252" s="784"/>
      <c r="C252" s="784"/>
      <c r="D252" s="784"/>
      <c r="E252" s="784"/>
      <c r="F252" s="784"/>
      <c r="G252" s="440">
        <f>G249*85.16%</f>
        <v>11.419955999999999</v>
      </c>
    </row>
    <row r="253" spans="1:7" ht="12.75">
      <c r="A253" s="783" t="s">
        <v>443</v>
      </c>
      <c r="B253" s="784"/>
      <c r="C253" s="784"/>
      <c r="D253" s="784"/>
      <c r="E253" s="784"/>
      <c r="F253" s="784"/>
      <c r="G253" s="440">
        <f>G252</f>
        <v>11.419955999999999</v>
      </c>
    </row>
    <row r="254" spans="1:7" ht="12.75">
      <c r="A254" s="785" t="s">
        <v>444</v>
      </c>
      <c r="B254" s="786"/>
      <c r="C254" s="786"/>
      <c r="D254" s="786"/>
      <c r="E254" s="786"/>
      <c r="F254" s="787"/>
      <c r="G254" s="440">
        <f>G250</f>
        <v>0</v>
      </c>
    </row>
    <row r="255" spans="1:7" ht="12.75">
      <c r="A255" s="785" t="s">
        <v>445</v>
      </c>
      <c r="B255" s="786"/>
      <c r="C255" s="786"/>
      <c r="D255" s="786"/>
      <c r="E255" s="786"/>
      <c r="F255" s="787"/>
      <c r="G255" s="440">
        <f>G249+G253</f>
        <v>24.829956</v>
      </c>
    </row>
    <row r="256" spans="1:7" ht="12.75">
      <c r="A256" s="785" t="s">
        <v>446</v>
      </c>
      <c r="B256" s="786"/>
      <c r="C256" s="786"/>
      <c r="D256" s="786"/>
      <c r="E256" s="786"/>
      <c r="F256" s="787"/>
      <c r="G256" s="440">
        <f>SUM(G254:G255)</f>
        <v>24.829956</v>
      </c>
    </row>
    <row r="257" spans="1:7" ht="12.75">
      <c r="A257" s="796"/>
      <c r="B257" s="797"/>
      <c r="C257" s="797"/>
      <c r="D257" s="797"/>
      <c r="E257" s="797"/>
      <c r="F257" s="797"/>
      <c r="G257" s="798"/>
    </row>
    <row r="258" spans="1:7" ht="12.75" customHeight="1">
      <c r="A258" s="491" t="s">
        <v>83</v>
      </c>
      <c r="B258" s="799" t="s">
        <v>451</v>
      </c>
      <c r="C258" s="799"/>
      <c r="D258" s="799"/>
      <c r="E258" s="799"/>
      <c r="F258" s="799"/>
      <c r="G258" s="800"/>
    </row>
    <row r="259" spans="1:7" ht="12.75">
      <c r="A259" s="804"/>
      <c r="B259" s="805"/>
      <c r="C259" s="805"/>
      <c r="D259" s="805"/>
      <c r="E259" s="805"/>
      <c r="F259" s="805"/>
      <c r="G259" s="806"/>
    </row>
    <row r="260" spans="1:7" ht="12.75">
      <c r="A260" s="704"/>
      <c r="B260" s="703"/>
      <c r="C260" s="703"/>
      <c r="D260" s="703"/>
      <c r="E260" s="703"/>
      <c r="F260" s="703"/>
      <c r="G260" s="705"/>
    </row>
    <row r="261" spans="1:7" ht="12.75">
      <c r="A261" s="704" t="s">
        <v>1623</v>
      </c>
      <c r="B261" s="703" t="s">
        <v>1624</v>
      </c>
      <c r="C261" s="703"/>
      <c r="D261" s="703"/>
      <c r="E261" s="703"/>
      <c r="F261" s="703"/>
      <c r="G261" s="705"/>
    </row>
    <row r="262" spans="1:7" ht="12.75">
      <c r="A262" s="704" t="s">
        <v>1652</v>
      </c>
      <c r="B262" s="703"/>
      <c r="C262" s="703"/>
      <c r="D262" s="703"/>
      <c r="E262" s="703"/>
      <c r="F262" s="703"/>
      <c r="G262" s="705"/>
    </row>
    <row r="263" spans="1:7" ht="38.25">
      <c r="A263" s="171" t="s">
        <v>452</v>
      </c>
      <c r="B263" s="182" t="s">
        <v>453</v>
      </c>
      <c r="C263" s="172" t="s">
        <v>72</v>
      </c>
      <c r="D263" s="172" t="s">
        <v>82</v>
      </c>
      <c r="E263" s="373"/>
      <c r="F263" s="374"/>
      <c r="G263" s="375"/>
    </row>
    <row r="264" spans="1:7" ht="25.5">
      <c r="A264" s="173" t="s">
        <v>454</v>
      </c>
      <c r="B264" s="174" t="s">
        <v>455</v>
      </c>
      <c r="C264" s="175" t="s">
        <v>72</v>
      </c>
      <c r="D264" s="175" t="s">
        <v>77</v>
      </c>
      <c r="E264" s="434">
        <v>0.6</v>
      </c>
      <c r="F264" s="435">
        <v>14.95</v>
      </c>
      <c r="G264" s="436">
        <f>E264*F264</f>
        <v>8.969999999999999</v>
      </c>
    </row>
    <row r="265" spans="1:7" ht="25.5">
      <c r="A265" s="173" t="s">
        <v>437</v>
      </c>
      <c r="B265" s="174" t="s">
        <v>438</v>
      </c>
      <c r="C265" s="175" t="s">
        <v>72</v>
      </c>
      <c r="D265" s="175" t="s">
        <v>77</v>
      </c>
      <c r="E265" s="434">
        <v>0.6</v>
      </c>
      <c r="F265" s="435">
        <v>12.65</v>
      </c>
      <c r="G265" s="436">
        <f>E265*F265</f>
        <v>7.59</v>
      </c>
    </row>
    <row r="266" spans="1:7" ht="12.75">
      <c r="A266" s="783" t="s">
        <v>439</v>
      </c>
      <c r="B266" s="784"/>
      <c r="C266" s="784"/>
      <c r="D266" s="784"/>
      <c r="E266" s="784"/>
      <c r="F266" s="784"/>
      <c r="G266" s="440">
        <f>SUM(G264:G265)</f>
        <v>16.56</v>
      </c>
    </row>
    <row r="267" spans="1:7" ht="12.75">
      <c r="A267" s="783" t="s">
        <v>440</v>
      </c>
      <c r="B267" s="784"/>
      <c r="C267" s="784"/>
      <c r="D267" s="784"/>
      <c r="E267" s="784"/>
      <c r="F267" s="784"/>
      <c r="G267" s="440">
        <f>0</f>
        <v>0</v>
      </c>
    </row>
    <row r="268" spans="1:7" ht="12.75">
      <c r="A268" s="783" t="s">
        <v>441</v>
      </c>
      <c r="B268" s="784"/>
      <c r="C268" s="784"/>
      <c r="D268" s="784"/>
      <c r="E268" s="784"/>
      <c r="F268" s="784"/>
      <c r="G268" s="440">
        <f>SUM(G266:G267)</f>
        <v>16.56</v>
      </c>
    </row>
    <row r="269" spans="1:7" ht="12.75">
      <c r="A269" s="783" t="s">
        <v>442</v>
      </c>
      <c r="B269" s="784"/>
      <c r="C269" s="784"/>
      <c r="D269" s="784"/>
      <c r="E269" s="784"/>
      <c r="F269" s="784"/>
      <c r="G269" s="440">
        <f>G266*85.16%</f>
        <v>14.102495999999997</v>
      </c>
    </row>
    <row r="270" spans="1:7" ht="12.75">
      <c r="A270" s="785" t="s">
        <v>443</v>
      </c>
      <c r="B270" s="786"/>
      <c r="C270" s="786"/>
      <c r="D270" s="786"/>
      <c r="E270" s="786"/>
      <c r="F270" s="787"/>
      <c r="G270" s="440">
        <f>G269</f>
        <v>14.102495999999997</v>
      </c>
    </row>
    <row r="271" spans="1:7" ht="12.75">
      <c r="A271" s="785" t="s">
        <v>444</v>
      </c>
      <c r="B271" s="786"/>
      <c r="C271" s="786"/>
      <c r="D271" s="786"/>
      <c r="E271" s="786"/>
      <c r="F271" s="787"/>
      <c r="G271" s="440">
        <f>G267</f>
        <v>0</v>
      </c>
    </row>
    <row r="272" spans="1:7" ht="12.75">
      <c r="A272" s="785" t="s">
        <v>445</v>
      </c>
      <c r="B272" s="786"/>
      <c r="C272" s="786"/>
      <c r="D272" s="786"/>
      <c r="E272" s="786"/>
      <c r="F272" s="787"/>
      <c r="G272" s="440">
        <f>G266+G270</f>
        <v>30.662495999999997</v>
      </c>
    </row>
    <row r="273" spans="1:7" ht="12.75">
      <c r="A273" s="785" t="s">
        <v>446</v>
      </c>
      <c r="B273" s="786"/>
      <c r="C273" s="786"/>
      <c r="D273" s="786"/>
      <c r="E273" s="786"/>
      <c r="F273" s="787"/>
      <c r="G273" s="440">
        <f>SUM(G271:G272)</f>
        <v>30.662495999999997</v>
      </c>
    </row>
    <row r="274" spans="1:7" ht="12.75">
      <c r="A274" s="796"/>
      <c r="B274" s="797"/>
      <c r="C274" s="797"/>
      <c r="D274" s="797"/>
      <c r="E274" s="797"/>
      <c r="F274" s="797"/>
      <c r="G274" s="798"/>
    </row>
    <row r="275" spans="1:7" ht="12.75">
      <c r="A275" s="491" t="s">
        <v>83</v>
      </c>
      <c r="B275" s="799" t="s">
        <v>456</v>
      </c>
      <c r="C275" s="799"/>
      <c r="D275" s="799"/>
      <c r="E275" s="799"/>
      <c r="F275" s="799"/>
      <c r="G275" s="800"/>
    </row>
    <row r="276" spans="1:7" ht="12.75">
      <c r="A276" s="804"/>
      <c r="B276" s="805"/>
      <c r="C276" s="805"/>
      <c r="D276" s="805"/>
      <c r="E276" s="805"/>
      <c r="F276" s="805"/>
      <c r="G276" s="806"/>
    </row>
    <row r="277" spans="1:7" ht="12.75">
      <c r="A277" s="594"/>
      <c r="B277" s="595"/>
      <c r="C277" s="595"/>
      <c r="D277" s="595"/>
      <c r="E277" s="595"/>
      <c r="F277" s="595"/>
      <c r="G277" s="596"/>
    </row>
    <row r="278" spans="1:7" ht="25.5" customHeight="1">
      <c r="A278" s="704" t="s">
        <v>1621</v>
      </c>
      <c r="B278" s="793" t="s">
        <v>1622</v>
      </c>
      <c r="C278" s="794"/>
      <c r="D278" s="794"/>
      <c r="E278" s="794"/>
      <c r="F278" s="795"/>
      <c r="G278" s="596"/>
    </row>
    <row r="279" spans="1:7" ht="12.75">
      <c r="A279" s="704" t="s">
        <v>1666</v>
      </c>
      <c r="B279" s="704"/>
      <c r="C279" s="595"/>
      <c r="D279" s="595"/>
      <c r="E279" s="595"/>
      <c r="F279" s="595"/>
      <c r="G279" s="596"/>
    </row>
    <row r="280" spans="1:8" ht="38.25">
      <c r="A280" s="493" t="s">
        <v>1288</v>
      </c>
      <c r="B280" s="394" t="s">
        <v>132</v>
      </c>
      <c r="C280" s="395" t="s">
        <v>72</v>
      </c>
      <c r="D280" s="395" t="s">
        <v>75</v>
      </c>
      <c r="E280" s="454"/>
      <c r="F280" s="455"/>
      <c r="G280" s="456"/>
      <c r="H280" s="479"/>
    </row>
    <row r="281" spans="1:8" ht="76.5">
      <c r="A281" s="497" t="s">
        <v>1288</v>
      </c>
      <c r="B281" s="498" t="s">
        <v>1287</v>
      </c>
      <c r="C281" s="398" t="s">
        <v>73</v>
      </c>
      <c r="D281" s="398" t="s">
        <v>75</v>
      </c>
      <c r="E281" s="466">
        <v>0.25</v>
      </c>
      <c r="F281" s="467">
        <v>26.57</v>
      </c>
      <c r="G281" s="494">
        <f>E281*F281</f>
        <v>6.6425</v>
      </c>
      <c r="H281" s="479"/>
    </row>
    <row r="282" spans="1:8" ht="25.5">
      <c r="A282" s="396" t="s">
        <v>437</v>
      </c>
      <c r="B282" s="397" t="s">
        <v>438</v>
      </c>
      <c r="C282" s="398" t="s">
        <v>72</v>
      </c>
      <c r="D282" s="398" t="s">
        <v>77</v>
      </c>
      <c r="E282" s="466">
        <v>0.8</v>
      </c>
      <c r="F282" s="467">
        <v>12.65</v>
      </c>
      <c r="G282" s="494">
        <f>E282*F282</f>
        <v>10.120000000000001</v>
      </c>
      <c r="H282" s="479"/>
    </row>
    <row r="283" spans="1:8" ht="12.75">
      <c r="A283" s="831" t="s">
        <v>439</v>
      </c>
      <c r="B283" s="832"/>
      <c r="C283" s="832"/>
      <c r="D283" s="832"/>
      <c r="E283" s="832"/>
      <c r="F283" s="832"/>
      <c r="G283" s="495">
        <f>SUM(G282)</f>
        <v>10.120000000000001</v>
      </c>
      <c r="H283" s="479"/>
    </row>
    <row r="284" spans="1:8" ht="12.75">
      <c r="A284" s="831" t="s">
        <v>440</v>
      </c>
      <c r="B284" s="832"/>
      <c r="C284" s="832"/>
      <c r="D284" s="832"/>
      <c r="E284" s="832"/>
      <c r="F284" s="832"/>
      <c r="G284" s="495">
        <f>SUM(G281)</f>
        <v>6.6425</v>
      </c>
      <c r="H284" s="479"/>
    </row>
    <row r="285" spans="1:8" ht="12.75">
      <c r="A285" s="831" t="s">
        <v>441</v>
      </c>
      <c r="B285" s="832"/>
      <c r="C285" s="832"/>
      <c r="D285" s="832"/>
      <c r="E285" s="832"/>
      <c r="F285" s="832"/>
      <c r="G285" s="495">
        <f>SUM(G283:G284)</f>
        <v>16.762500000000003</v>
      </c>
      <c r="H285" s="479"/>
    </row>
    <row r="286" spans="1:8" ht="12.75">
      <c r="A286" s="831" t="s">
        <v>442</v>
      </c>
      <c r="B286" s="832"/>
      <c r="C286" s="832"/>
      <c r="D286" s="832"/>
      <c r="E286" s="832"/>
      <c r="F286" s="832"/>
      <c r="G286" s="495">
        <f>G283*85.16%</f>
        <v>8.618192</v>
      </c>
      <c r="H286" s="479"/>
    </row>
    <row r="287" spans="1:8" ht="12.75">
      <c r="A287" s="831" t="s">
        <v>443</v>
      </c>
      <c r="B287" s="832"/>
      <c r="C287" s="832"/>
      <c r="D287" s="832"/>
      <c r="E287" s="832"/>
      <c r="F287" s="832"/>
      <c r="G287" s="495">
        <f>G286</f>
        <v>8.618192</v>
      </c>
      <c r="H287" s="479"/>
    </row>
    <row r="288" spans="1:8" ht="12.75">
      <c r="A288" s="833" t="s">
        <v>444</v>
      </c>
      <c r="B288" s="834"/>
      <c r="C288" s="834"/>
      <c r="D288" s="834"/>
      <c r="E288" s="834"/>
      <c r="F288" s="835"/>
      <c r="G288" s="495">
        <f>G284</f>
        <v>6.6425</v>
      </c>
      <c r="H288" s="479"/>
    </row>
    <row r="289" spans="1:8" ht="12.75">
      <c r="A289" s="833" t="s">
        <v>445</v>
      </c>
      <c r="B289" s="834"/>
      <c r="C289" s="834"/>
      <c r="D289" s="834"/>
      <c r="E289" s="834"/>
      <c r="F289" s="835"/>
      <c r="G289" s="495">
        <f>G283+G287</f>
        <v>18.738192</v>
      </c>
      <c r="H289" s="479"/>
    </row>
    <row r="290" spans="1:8" ht="12.75">
      <c r="A290" s="833" t="s">
        <v>446</v>
      </c>
      <c r="B290" s="834"/>
      <c r="C290" s="834"/>
      <c r="D290" s="834"/>
      <c r="E290" s="834"/>
      <c r="F290" s="835"/>
      <c r="G290" s="495">
        <f>SUM(G288:G289)</f>
        <v>25.380692000000003</v>
      </c>
      <c r="H290" s="479"/>
    </row>
    <row r="291" spans="1:8" ht="12.75">
      <c r="A291" s="809"/>
      <c r="B291" s="810"/>
      <c r="C291" s="810"/>
      <c r="D291" s="810"/>
      <c r="E291" s="810"/>
      <c r="F291" s="810"/>
      <c r="G291" s="811"/>
      <c r="H291" s="479"/>
    </row>
    <row r="292" spans="1:8" ht="12.75">
      <c r="A292" s="496" t="s">
        <v>83</v>
      </c>
      <c r="B292" s="812" t="s">
        <v>1204</v>
      </c>
      <c r="C292" s="812"/>
      <c r="D292" s="812"/>
      <c r="E292" s="812"/>
      <c r="F292" s="812"/>
      <c r="G292" s="813"/>
      <c r="H292" s="479"/>
    </row>
    <row r="293" spans="1:8" ht="12.75">
      <c r="A293" s="804"/>
      <c r="B293" s="805"/>
      <c r="C293" s="805"/>
      <c r="D293" s="805"/>
      <c r="E293" s="805"/>
      <c r="F293" s="805"/>
      <c r="G293" s="806"/>
      <c r="H293" s="479"/>
    </row>
    <row r="294" spans="1:8" ht="12.75" customHeight="1">
      <c r="A294" s="704" t="s">
        <v>1625</v>
      </c>
      <c r="B294" s="801" t="s">
        <v>1626</v>
      </c>
      <c r="C294" s="802"/>
      <c r="D294" s="802"/>
      <c r="E294" s="802"/>
      <c r="F294" s="830"/>
      <c r="G294" s="596"/>
      <c r="H294" s="479"/>
    </row>
    <row r="295" spans="1:8" ht="12.75">
      <c r="A295" s="704" t="s">
        <v>1627</v>
      </c>
      <c r="B295" s="703" t="s">
        <v>1628</v>
      </c>
      <c r="C295" s="703"/>
      <c r="D295" s="703"/>
      <c r="E295" s="595"/>
      <c r="F295" s="595"/>
      <c r="G295" s="596"/>
      <c r="H295" s="479"/>
    </row>
    <row r="296" spans="1:8" ht="12.75">
      <c r="A296" s="704" t="s">
        <v>1665</v>
      </c>
      <c r="B296" s="703"/>
      <c r="C296" s="703"/>
      <c r="D296" s="703"/>
      <c r="E296" s="595"/>
      <c r="F296" s="595"/>
      <c r="G296" s="596"/>
      <c r="H296" s="479"/>
    </row>
    <row r="297" spans="1:8" ht="12.75">
      <c r="A297" s="171" t="s">
        <v>482</v>
      </c>
      <c r="B297" s="182" t="s">
        <v>483</v>
      </c>
      <c r="C297" s="172" t="s">
        <v>72</v>
      </c>
      <c r="D297" s="172" t="s">
        <v>71</v>
      </c>
      <c r="E297" s="373"/>
      <c r="F297" s="374"/>
      <c r="G297" s="375"/>
      <c r="H297" s="479"/>
    </row>
    <row r="298" spans="1:8" ht="25.5">
      <c r="A298" s="173" t="s">
        <v>457</v>
      </c>
      <c r="B298" s="174" t="s">
        <v>458</v>
      </c>
      <c r="C298" s="175" t="s">
        <v>72</v>
      </c>
      <c r="D298" s="175" t="s">
        <v>77</v>
      </c>
      <c r="E298" s="434">
        <v>0.45</v>
      </c>
      <c r="F298" s="435">
        <v>12.97</v>
      </c>
      <c r="G298" s="436">
        <f>E298*F298</f>
        <v>5.8365</v>
      </c>
      <c r="H298" s="479"/>
    </row>
    <row r="299" spans="1:7" ht="25.5">
      <c r="A299" s="173" t="s">
        <v>459</v>
      </c>
      <c r="B299" s="174" t="s">
        <v>460</v>
      </c>
      <c r="C299" s="175" t="s">
        <v>72</v>
      </c>
      <c r="D299" s="175" t="s">
        <v>77</v>
      </c>
      <c r="E299" s="434">
        <v>0.1</v>
      </c>
      <c r="F299" s="435">
        <v>15.26</v>
      </c>
      <c r="G299" s="436">
        <f>E299*F299</f>
        <v>1.526</v>
      </c>
    </row>
    <row r="300" spans="1:7" ht="12.75">
      <c r="A300" s="783" t="s">
        <v>439</v>
      </c>
      <c r="B300" s="784"/>
      <c r="C300" s="784"/>
      <c r="D300" s="784"/>
      <c r="E300" s="784"/>
      <c r="F300" s="784"/>
      <c r="G300" s="440">
        <f>SUM(G298:G299)</f>
        <v>7.3625</v>
      </c>
    </row>
    <row r="301" spans="1:7" ht="12.75">
      <c r="A301" s="783" t="s">
        <v>440</v>
      </c>
      <c r="B301" s="784"/>
      <c r="C301" s="784"/>
      <c r="D301" s="784"/>
      <c r="E301" s="784"/>
      <c r="F301" s="784"/>
      <c r="G301" s="440">
        <f>0</f>
        <v>0</v>
      </c>
    </row>
    <row r="302" spans="1:7" ht="12.75">
      <c r="A302" s="783" t="s">
        <v>441</v>
      </c>
      <c r="B302" s="784"/>
      <c r="C302" s="784"/>
      <c r="D302" s="784"/>
      <c r="E302" s="784"/>
      <c r="F302" s="784"/>
      <c r="G302" s="440">
        <f>SUM(G300:G301)</f>
        <v>7.3625</v>
      </c>
    </row>
    <row r="303" spans="1:7" ht="12.75">
      <c r="A303" s="783" t="s">
        <v>442</v>
      </c>
      <c r="B303" s="784"/>
      <c r="C303" s="784"/>
      <c r="D303" s="784"/>
      <c r="E303" s="784"/>
      <c r="F303" s="784"/>
      <c r="G303" s="440">
        <f>G300*85.16%</f>
        <v>6.269905</v>
      </c>
    </row>
    <row r="304" spans="1:7" ht="12.75">
      <c r="A304" s="783" t="s">
        <v>443</v>
      </c>
      <c r="B304" s="784"/>
      <c r="C304" s="784"/>
      <c r="D304" s="784"/>
      <c r="E304" s="784"/>
      <c r="F304" s="784"/>
      <c r="G304" s="440">
        <f>G303</f>
        <v>6.269905</v>
      </c>
    </row>
    <row r="305" spans="1:7" ht="12.75">
      <c r="A305" s="785" t="s">
        <v>444</v>
      </c>
      <c r="B305" s="786"/>
      <c r="C305" s="786"/>
      <c r="D305" s="786"/>
      <c r="E305" s="786"/>
      <c r="F305" s="787"/>
      <c r="G305" s="440">
        <f>G301</f>
        <v>0</v>
      </c>
    </row>
    <row r="306" spans="1:7" ht="12.75">
      <c r="A306" s="785" t="s">
        <v>445</v>
      </c>
      <c r="B306" s="786"/>
      <c r="C306" s="786"/>
      <c r="D306" s="786"/>
      <c r="E306" s="786"/>
      <c r="F306" s="787"/>
      <c r="G306" s="440">
        <f>G300+G304</f>
        <v>13.632404999999999</v>
      </c>
    </row>
    <row r="307" spans="1:7" ht="12.75">
      <c r="A307" s="785" t="s">
        <v>446</v>
      </c>
      <c r="B307" s="786"/>
      <c r="C307" s="786"/>
      <c r="D307" s="786"/>
      <c r="E307" s="786"/>
      <c r="F307" s="787"/>
      <c r="G307" s="440">
        <f>SUM(G305:G306)</f>
        <v>13.632404999999999</v>
      </c>
    </row>
    <row r="308" spans="1:7" ht="12.75">
      <c r="A308" s="796"/>
      <c r="B308" s="797"/>
      <c r="C308" s="797"/>
      <c r="D308" s="797"/>
      <c r="E308" s="797"/>
      <c r="F308" s="797"/>
      <c r="G308" s="798"/>
    </row>
    <row r="309" spans="1:7" ht="12.75">
      <c r="A309" s="804"/>
      <c r="B309" s="805"/>
      <c r="C309" s="805"/>
      <c r="D309" s="805"/>
      <c r="E309" s="805"/>
      <c r="F309" s="805"/>
      <c r="G309" s="806"/>
    </row>
    <row r="310" spans="1:7" ht="12.75">
      <c r="A310" s="706" t="s">
        <v>1661</v>
      </c>
      <c r="B310" s="703" t="s">
        <v>1662</v>
      </c>
      <c r="C310" s="595"/>
      <c r="D310" s="595"/>
      <c r="E310" s="595"/>
      <c r="F310" s="595"/>
      <c r="G310" s="596"/>
    </row>
    <row r="311" spans="1:7" ht="12.75">
      <c r="A311" s="706" t="s">
        <v>1664</v>
      </c>
      <c r="B311" s="703"/>
      <c r="C311" s="595"/>
      <c r="D311" s="595"/>
      <c r="E311" s="595"/>
      <c r="F311" s="595"/>
      <c r="G311" s="596"/>
    </row>
    <row r="312" spans="1:7" s="177" customFormat="1" ht="12.75">
      <c r="A312" s="394" t="s">
        <v>459</v>
      </c>
      <c r="B312" s="394" t="s">
        <v>108</v>
      </c>
      <c r="C312" s="395" t="s">
        <v>72</v>
      </c>
      <c r="D312" s="395" t="s">
        <v>75</v>
      </c>
      <c r="E312" s="454"/>
      <c r="F312" s="455"/>
      <c r="G312" s="456"/>
    </row>
    <row r="313" spans="1:7" s="177" customFormat="1" ht="25.5">
      <c r="A313" s="396" t="s">
        <v>457</v>
      </c>
      <c r="B313" s="397" t="s">
        <v>458</v>
      </c>
      <c r="C313" s="398" t="s">
        <v>72</v>
      </c>
      <c r="D313" s="398" t="s">
        <v>77</v>
      </c>
      <c r="E313" s="466">
        <v>0.35</v>
      </c>
      <c r="F313" s="467">
        <v>12.97</v>
      </c>
      <c r="G313" s="494">
        <f>E313*F313</f>
        <v>4.5395</v>
      </c>
    </row>
    <row r="314" spans="1:7" s="177" customFormat="1" ht="25.5">
      <c r="A314" s="396" t="s">
        <v>459</v>
      </c>
      <c r="B314" s="397" t="s">
        <v>460</v>
      </c>
      <c r="C314" s="398" t="s">
        <v>72</v>
      </c>
      <c r="D314" s="398" t="s">
        <v>77</v>
      </c>
      <c r="E314" s="466">
        <v>0.35</v>
      </c>
      <c r="F314" s="467">
        <v>15.26</v>
      </c>
      <c r="G314" s="494">
        <f>E314*F314</f>
        <v>5.340999999999999</v>
      </c>
    </row>
    <row r="315" spans="1:7" s="177" customFormat="1" ht="12.75">
      <c r="A315" s="831" t="s">
        <v>439</v>
      </c>
      <c r="B315" s="832"/>
      <c r="C315" s="832"/>
      <c r="D315" s="832"/>
      <c r="E315" s="832"/>
      <c r="F315" s="832"/>
      <c r="G315" s="495">
        <f>SUM(G313:G314)</f>
        <v>9.8805</v>
      </c>
    </row>
    <row r="316" spans="1:7" s="177" customFormat="1" ht="12.75">
      <c r="A316" s="831" t="s">
        <v>440</v>
      </c>
      <c r="B316" s="832"/>
      <c r="C316" s="832"/>
      <c r="D316" s="832"/>
      <c r="E316" s="832"/>
      <c r="F316" s="832"/>
      <c r="G316" s="495">
        <f>0</f>
        <v>0</v>
      </c>
    </row>
    <row r="317" spans="1:7" s="177" customFormat="1" ht="12.75">
      <c r="A317" s="831" t="s">
        <v>441</v>
      </c>
      <c r="B317" s="832"/>
      <c r="C317" s="832"/>
      <c r="D317" s="832"/>
      <c r="E317" s="832"/>
      <c r="F317" s="832"/>
      <c r="G317" s="495">
        <f>SUM(G315:G316)</f>
        <v>9.8805</v>
      </c>
    </row>
    <row r="318" spans="1:7" s="177" customFormat="1" ht="12.75">
      <c r="A318" s="831" t="s">
        <v>442</v>
      </c>
      <c r="B318" s="832"/>
      <c r="C318" s="832"/>
      <c r="D318" s="832"/>
      <c r="E318" s="832"/>
      <c r="F318" s="832"/>
      <c r="G318" s="495">
        <f>G315*85.16%</f>
        <v>8.414233799999998</v>
      </c>
    </row>
    <row r="319" spans="1:7" s="177" customFormat="1" ht="12.75">
      <c r="A319" s="831" t="s">
        <v>443</v>
      </c>
      <c r="B319" s="832"/>
      <c r="C319" s="832"/>
      <c r="D319" s="832"/>
      <c r="E319" s="832"/>
      <c r="F319" s="832"/>
      <c r="G319" s="495">
        <f>G318</f>
        <v>8.414233799999998</v>
      </c>
    </row>
    <row r="320" spans="1:7" s="177" customFormat="1" ht="12.75">
      <c r="A320" s="833" t="s">
        <v>444</v>
      </c>
      <c r="B320" s="834"/>
      <c r="C320" s="834"/>
      <c r="D320" s="834"/>
      <c r="E320" s="834"/>
      <c r="F320" s="835"/>
      <c r="G320" s="495">
        <f>G316</f>
        <v>0</v>
      </c>
    </row>
    <row r="321" spans="1:7" s="177" customFormat="1" ht="12.75">
      <c r="A321" s="833" t="s">
        <v>445</v>
      </c>
      <c r="B321" s="834"/>
      <c r="C321" s="834"/>
      <c r="D321" s="834"/>
      <c r="E321" s="834"/>
      <c r="F321" s="835"/>
      <c r="G321" s="495">
        <f>G315+G319</f>
        <v>18.294733799999996</v>
      </c>
    </row>
    <row r="322" spans="1:7" s="177" customFormat="1" ht="12.75">
      <c r="A322" s="833" t="s">
        <v>446</v>
      </c>
      <c r="B322" s="834"/>
      <c r="C322" s="834"/>
      <c r="D322" s="834"/>
      <c r="E322" s="834"/>
      <c r="F322" s="835"/>
      <c r="G322" s="495">
        <f>SUM(G320:G321)</f>
        <v>18.294733799999996</v>
      </c>
    </row>
    <row r="323" spans="1:7" s="177" customFormat="1" ht="12.75">
      <c r="A323" s="809"/>
      <c r="B323" s="810"/>
      <c r="C323" s="810"/>
      <c r="D323" s="810"/>
      <c r="E323" s="810"/>
      <c r="F323" s="810"/>
      <c r="G323" s="811"/>
    </row>
    <row r="324" spans="1:7" s="177" customFormat="1" ht="12.75">
      <c r="A324" s="496" t="s">
        <v>83</v>
      </c>
      <c r="B324" s="812" t="s">
        <v>461</v>
      </c>
      <c r="C324" s="812"/>
      <c r="D324" s="812"/>
      <c r="E324" s="812"/>
      <c r="F324" s="812"/>
      <c r="G324" s="813"/>
    </row>
    <row r="325" spans="1:7" ht="12.75">
      <c r="A325" s="804"/>
      <c r="B325" s="805"/>
      <c r="C325" s="805"/>
      <c r="D325" s="805"/>
      <c r="E325" s="805"/>
      <c r="F325" s="805"/>
      <c r="G325" s="806"/>
    </row>
    <row r="326" spans="1:7" ht="12.75">
      <c r="A326" s="594"/>
      <c r="B326" s="595"/>
      <c r="C326" s="595"/>
      <c r="D326" s="595"/>
      <c r="E326" s="595"/>
      <c r="F326" s="595"/>
      <c r="G326" s="596"/>
    </row>
    <row r="327" spans="1:7" ht="12.75">
      <c r="A327" s="706" t="s">
        <v>1584</v>
      </c>
      <c r="B327" s="706" t="s">
        <v>1585</v>
      </c>
      <c r="C327" s="706"/>
      <c r="D327" s="595"/>
      <c r="E327" s="595"/>
      <c r="F327" s="595"/>
      <c r="G327" s="596"/>
    </row>
    <row r="328" spans="1:7" ht="12.75">
      <c r="A328" s="706" t="s">
        <v>1660</v>
      </c>
      <c r="B328" s="706"/>
      <c r="C328" s="706"/>
      <c r="D328" s="595"/>
      <c r="E328" s="595"/>
      <c r="F328" s="595"/>
      <c r="G328" s="596"/>
    </row>
    <row r="329" spans="1:7" ht="12.75">
      <c r="A329" s="171" t="s">
        <v>480</v>
      </c>
      <c r="B329" s="182" t="s">
        <v>481</v>
      </c>
      <c r="C329" s="172" t="s">
        <v>72</v>
      </c>
      <c r="D329" s="172" t="s">
        <v>82</v>
      </c>
      <c r="E329" s="373"/>
      <c r="F329" s="374"/>
      <c r="G329" s="375"/>
    </row>
    <row r="330" spans="1:7" ht="25.5">
      <c r="A330" s="173" t="s">
        <v>449</v>
      </c>
      <c r="B330" s="174" t="s">
        <v>450</v>
      </c>
      <c r="C330" s="175" t="s">
        <v>72</v>
      </c>
      <c r="D330" s="175" t="s">
        <v>77</v>
      </c>
      <c r="E330" s="434">
        <v>0.03</v>
      </c>
      <c r="F330" s="435">
        <v>15.14</v>
      </c>
      <c r="G330" s="436">
        <f>E330*F330</f>
        <v>0.4542</v>
      </c>
    </row>
    <row r="331" spans="1:7" ht="25.5">
      <c r="A331" s="173" t="s">
        <v>437</v>
      </c>
      <c r="B331" s="174" t="s">
        <v>438</v>
      </c>
      <c r="C331" s="175" t="s">
        <v>72</v>
      </c>
      <c r="D331" s="175" t="s">
        <v>77</v>
      </c>
      <c r="E331" s="434">
        <v>0.3</v>
      </c>
      <c r="F331" s="435">
        <v>12.64</v>
      </c>
      <c r="G331" s="436">
        <f>E331*F331</f>
        <v>3.792</v>
      </c>
    </row>
    <row r="332" spans="1:7" ht="12.75">
      <c r="A332" s="783" t="s">
        <v>439</v>
      </c>
      <c r="B332" s="784"/>
      <c r="C332" s="784"/>
      <c r="D332" s="784"/>
      <c r="E332" s="784"/>
      <c r="F332" s="784"/>
      <c r="G332" s="440">
        <f>SUM(G330:G331)</f>
        <v>4.2462</v>
      </c>
    </row>
    <row r="333" spans="1:7" ht="12.75">
      <c r="A333" s="783" t="s">
        <v>440</v>
      </c>
      <c r="B333" s="784"/>
      <c r="C333" s="784"/>
      <c r="D333" s="784"/>
      <c r="E333" s="784"/>
      <c r="F333" s="784"/>
      <c r="G333" s="440">
        <f>0</f>
        <v>0</v>
      </c>
    </row>
    <row r="334" spans="1:7" ht="12.75">
      <c r="A334" s="783" t="s">
        <v>441</v>
      </c>
      <c r="B334" s="784"/>
      <c r="C334" s="784"/>
      <c r="D334" s="784"/>
      <c r="E334" s="784"/>
      <c r="F334" s="784"/>
      <c r="G334" s="440">
        <f>SUM(G332:G333)</f>
        <v>4.2462</v>
      </c>
    </row>
    <row r="335" spans="1:7" ht="12.75">
      <c r="A335" s="783" t="s">
        <v>442</v>
      </c>
      <c r="B335" s="784"/>
      <c r="C335" s="784"/>
      <c r="D335" s="784"/>
      <c r="E335" s="784"/>
      <c r="F335" s="784"/>
      <c r="G335" s="440">
        <f>G332*85.16%</f>
        <v>3.6160639199999998</v>
      </c>
    </row>
    <row r="336" spans="1:7" ht="12.75">
      <c r="A336" s="783" t="s">
        <v>443</v>
      </c>
      <c r="B336" s="784"/>
      <c r="C336" s="784"/>
      <c r="D336" s="784"/>
      <c r="E336" s="784"/>
      <c r="F336" s="784"/>
      <c r="G336" s="440">
        <f>G335</f>
        <v>3.6160639199999998</v>
      </c>
    </row>
    <row r="337" spans="1:7" ht="12.75">
      <c r="A337" s="785" t="s">
        <v>444</v>
      </c>
      <c r="B337" s="786"/>
      <c r="C337" s="786"/>
      <c r="D337" s="786"/>
      <c r="E337" s="786"/>
      <c r="F337" s="787"/>
      <c r="G337" s="440">
        <f>G333</f>
        <v>0</v>
      </c>
    </row>
    <row r="338" spans="1:7" ht="12.75">
      <c r="A338" s="785" t="s">
        <v>445</v>
      </c>
      <c r="B338" s="786"/>
      <c r="C338" s="786"/>
      <c r="D338" s="786"/>
      <c r="E338" s="786"/>
      <c r="F338" s="787"/>
      <c r="G338" s="440">
        <f>G332+G336</f>
        <v>7.86226392</v>
      </c>
    </row>
    <row r="339" spans="1:7" ht="12.75">
      <c r="A339" s="785" t="s">
        <v>446</v>
      </c>
      <c r="B339" s="786"/>
      <c r="C339" s="786"/>
      <c r="D339" s="786"/>
      <c r="E339" s="786"/>
      <c r="F339" s="787"/>
      <c r="G339" s="440">
        <f>SUM(G337:G338)</f>
        <v>7.86226392</v>
      </c>
    </row>
    <row r="340" spans="1:7" ht="12.75">
      <c r="A340" s="796"/>
      <c r="B340" s="797"/>
      <c r="C340" s="797"/>
      <c r="D340" s="797"/>
      <c r="E340" s="797"/>
      <c r="F340" s="797"/>
      <c r="G340" s="798"/>
    </row>
    <row r="341" spans="1:7" ht="12.75">
      <c r="A341" s="704" t="s">
        <v>1623</v>
      </c>
      <c r="B341" s="703" t="s">
        <v>1624</v>
      </c>
      <c r="C341" s="595"/>
      <c r="D341" s="595"/>
      <c r="E341" s="595"/>
      <c r="F341" s="595"/>
      <c r="G341" s="596"/>
    </row>
    <row r="342" spans="1:7" ht="12.75">
      <c r="A342" s="704" t="s">
        <v>1653</v>
      </c>
      <c r="B342" s="703"/>
      <c r="C342" s="595"/>
      <c r="D342" s="595"/>
      <c r="E342" s="595"/>
      <c r="F342" s="595"/>
      <c r="G342" s="596"/>
    </row>
    <row r="343" spans="1:7" ht="25.5">
      <c r="A343" s="171" t="s">
        <v>470</v>
      </c>
      <c r="B343" s="182" t="s">
        <v>135</v>
      </c>
      <c r="C343" s="172" t="s">
        <v>72</v>
      </c>
      <c r="D343" s="172" t="s">
        <v>82</v>
      </c>
      <c r="E343" s="373"/>
      <c r="F343" s="374"/>
      <c r="G343" s="375"/>
    </row>
    <row r="344" spans="1:7" ht="25.5">
      <c r="A344" s="173" t="s">
        <v>471</v>
      </c>
      <c r="B344" s="174" t="s">
        <v>472</v>
      </c>
      <c r="C344" s="175" t="s">
        <v>72</v>
      </c>
      <c r="D344" s="175" t="s">
        <v>77</v>
      </c>
      <c r="E344" s="434">
        <v>0.7</v>
      </c>
      <c r="F344" s="435">
        <v>13.15</v>
      </c>
      <c r="G344" s="436">
        <f>E344*F344</f>
        <v>9.205</v>
      </c>
    </row>
    <row r="345" spans="1:7" ht="25.5">
      <c r="A345" s="173" t="s">
        <v>463</v>
      </c>
      <c r="B345" s="174" t="s">
        <v>464</v>
      </c>
      <c r="C345" s="175" t="s">
        <v>72</v>
      </c>
      <c r="D345" s="175" t="s">
        <v>77</v>
      </c>
      <c r="E345" s="434">
        <v>0.22</v>
      </c>
      <c r="F345" s="435">
        <v>14.17</v>
      </c>
      <c r="G345" s="436">
        <f>E345*F345</f>
        <v>3.1174</v>
      </c>
    </row>
    <row r="346" spans="1:7" ht="12.75">
      <c r="A346" s="783" t="s">
        <v>439</v>
      </c>
      <c r="B346" s="784"/>
      <c r="C346" s="784"/>
      <c r="D346" s="784"/>
      <c r="E346" s="784"/>
      <c r="F346" s="784"/>
      <c r="G346" s="440">
        <f>SUM(G344:G345)</f>
        <v>12.3224</v>
      </c>
    </row>
    <row r="347" spans="1:7" ht="12.75">
      <c r="A347" s="783" t="s">
        <v>440</v>
      </c>
      <c r="B347" s="784"/>
      <c r="C347" s="784"/>
      <c r="D347" s="784"/>
      <c r="E347" s="784"/>
      <c r="F347" s="784"/>
      <c r="G347" s="440">
        <f>0</f>
        <v>0</v>
      </c>
    </row>
    <row r="348" spans="1:7" ht="12.75">
      <c r="A348" s="783" t="s">
        <v>441</v>
      </c>
      <c r="B348" s="784"/>
      <c r="C348" s="784"/>
      <c r="D348" s="784"/>
      <c r="E348" s="784"/>
      <c r="F348" s="784"/>
      <c r="G348" s="440">
        <f>SUM(G346:G347)</f>
        <v>12.3224</v>
      </c>
    </row>
    <row r="349" spans="1:7" ht="12.75">
      <c r="A349" s="783" t="s">
        <v>442</v>
      </c>
      <c r="B349" s="784"/>
      <c r="C349" s="784"/>
      <c r="D349" s="784"/>
      <c r="E349" s="784"/>
      <c r="F349" s="784"/>
      <c r="G349" s="440">
        <f>G346*85.16%</f>
        <v>10.493755839999999</v>
      </c>
    </row>
    <row r="350" spans="1:7" ht="12.75">
      <c r="A350" s="783" t="s">
        <v>443</v>
      </c>
      <c r="B350" s="784"/>
      <c r="C350" s="784"/>
      <c r="D350" s="784"/>
      <c r="E350" s="784"/>
      <c r="F350" s="784"/>
      <c r="G350" s="440">
        <f>G349</f>
        <v>10.493755839999999</v>
      </c>
    </row>
    <row r="351" spans="1:7" ht="12.75">
      <c r="A351" s="785" t="s">
        <v>444</v>
      </c>
      <c r="B351" s="786"/>
      <c r="C351" s="786"/>
      <c r="D351" s="786"/>
      <c r="E351" s="786"/>
      <c r="F351" s="787"/>
      <c r="G351" s="440">
        <f>G347</f>
        <v>0</v>
      </c>
    </row>
    <row r="352" spans="1:7" ht="12.75">
      <c r="A352" s="785" t="s">
        <v>445</v>
      </c>
      <c r="B352" s="786"/>
      <c r="C352" s="786"/>
      <c r="D352" s="786"/>
      <c r="E352" s="786"/>
      <c r="F352" s="787"/>
      <c r="G352" s="440">
        <f>G346+G350</f>
        <v>22.81615584</v>
      </c>
    </row>
    <row r="353" spans="1:7" ht="12.75">
      <c r="A353" s="785" t="s">
        <v>446</v>
      </c>
      <c r="B353" s="786"/>
      <c r="C353" s="786"/>
      <c r="D353" s="786"/>
      <c r="E353" s="786"/>
      <c r="F353" s="787"/>
      <c r="G353" s="440">
        <f>SUM(G351:G352)</f>
        <v>22.81615584</v>
      </c>
    </row>
    <row r="354" spans="1:7" ht="12.75">
      <c r="A354" s="796"/>
      <c r="B354" s="797"/>
      <c r="C354" s="797"/>
      <c r="D354" s="797"/>
      <c r="E354" s="797"/>
      <c r="F354" s="797"/>
      <c r="G354" s="798"/>
    </row>
    <row r="355" spans="1:7" ht="12.75">
      <c r="A355" s="804"/>
      <c r="B355" s="805"/>
      <c r="C355" s="805"/>
      <c r="D355" s="805"/>
      <c r="E355" s="805"/>
      <c r="F355" s="805"/>
      <c r="G355" s="806"/>
    </row>
    <row r="356" spans="1:7" ht="12.75">
      <c r="A356" s="704" t="s">
        <v>1654</v>
      </c>
      <c r="B356" s="595"/>
      <c r="C356" s="595"/>
      <c r="D356" s="595"/>
      <c r="E356" s="595"/>
      <c r="F356" s="595"/>
      <c r="G356" s="596"/>
    </row>
    <row r="357" spans="1:7" ht="25.5">
      <c r="A357" s="499" t="s">
        <v>437</v>
      </c>
      <c r="B357" s="182" t="s">
        <v>498</v>
      </c>
      <c r="C357" s="172" t="s">
        <v>72</v>
      </c>
      <c r="D357" s="172" t="s">
        <v>75</v>
      </c>
      <c r="E357" s="373"/>
      <c r="F357" s="374"/>
      <c r="G357" s="375"/>
    </row>
    <row r="358" spans="1:7" ht="25.5">
      <c r="A358" s="173" t="s">
        <v>449</v>
      </c>
      <c r="B358" s="174" t="s">
        <v>450</v>
      </c>
      <c r="C358" s="175" t="s">
        <v>72</v>
      </c>
      <c r="D358" s="175" t="s">
        <v>77</v>
      </c>
      <c r="E358" s="434">
        <v>0.08</v>
      </c>
      <c r="F358" s="435">
        <v>15.14</v>
      </c>
      <c r="G358" s="436">
        <f>E358*F358</f>
        <v>1.2112</v>
      </c>
    </row>
    <row r="359" spans="1:7" ht="25.5">
      <c r="A359" s="173" t="s">
        <v>437</v>
      </c>
      <c r="B359" s="174" t="s">
        <v>438</v>
      </c>
      <c r="C359" s="175" t="s">
        <v>72</v>
      </c>
      <c r="D359" s="175" t="s">
        <v>77</v>
      </c>
      <c r="E359" s="434">
        <v>0.8</v>
      </c>
      <c r="F359" s="435">
        <v>12.64</v>
      </c>
      <c r="G359" s="436">
        <f>E359*F359</f>
        <v>10.112000000000002</v>
      </c>
    </row>
    <row r="360" spans="1:7" ht="12.75">
      <c r="A360" s="783" t="s">
        <v>439</v>
      </c>
      <c r="B360" s="784"/>
      <c r="C360" s="784"/>
      <c r="D360" s="784"/>
      <c r="E360" s="784"/>
      <c r="F360" s="784"/>
      <c r="G360" s="440">
        <f>SUM(G358:G359)</f>
        <v>11.323200000000002</v>
      </c>
    </row>
    <row r="361" spans="1:7" ht="12.75">
      <c r="A361" s="783" t="s">
        <v>440</v>
      </c>
      <c r="B361" s="784"/>
      <c r="C361" s="784"/>
      <c r="D361" s="784"/>
      <c r="E361" s="784"/>
      <c r="F361" s="784"/>
      <c r="G361" s="440">
        <f>0</f>
        <v>0</v>
      </c>
    </row>
    <row r="362" spans="1:7" ht="12.75">
      <c r="A362" s="783" t="s">
        <v>441</v>
      </c>
      <c r="B362" s="784"/>
      <c r="C362" s="784"/>
      <c r="D362" s="784"/>
      <c r="E362" s="784"/>
      <c r="F362" s="784"/>
      <c r="G362" s="440">
        <f>SUM(G360:G361)</f>
        <v>11.323200000000002</v>
      </c>
    </row>
    <row r="363" spans="1:7" ht="12.75">
      <c r="A363" s="783" t="s">
        <v>442</v>
      </c>
      <c r="B363" s="784"/>
      <c r="C363" s="784"/>
      <c r="D363" s="784"/>
      <c r="E363" s="784"/>
      <c r="F363" s="784"/>
      <c r="G363" s="440">
        <f>G360*85.16%</f>
        <v>9.642837120000001</v>
      </c>
    </row>
    <row r="364" spans="1:7" ht="12.75">
      <c r="A364" s="783" t="s">
        <v>443</v>
      </c>
      <c r="B364" s="784"/>
      <c r="C364" s="784"/>
      <c r="D364" s="784"/>
      <c r="E364" s="784"/>
      <c r="F364" s="784"/>
      <c r="G364" s="440">
        <f>G363</f>
        <v>9.642837120000001</v>
      </c>
    </row>
    <row r="365" spans="1:7" ht="12.75">
      <c r="A365" s="785" t="s">
        <v>444</v>
      </c>
      <c r="B365" s="786"/>
      <c r="C365" s="786"/>
      <c r="D365" s="786"/>
      <c r="E365" s="786"/>
      <c r="F365" s="787"/>
      <c r="G365" s="440">
        <f>G361</f>
        <v>0</v>
      </c>
    </row>
    <row r="366" spans="1:7" ht="12.75">
      <c r="A366" s="785" t="s">
        <v>445</v>
      </c>
      <c r="B366" s="786"/>
      <c r="C366" s="786"/>
      <c r="D366" s="786"/>
      <c r="E366" s="786"/>
      <c r="F366" s="787"/>
      <c r="G366" s="440">
        <f>G360+G364</f>
        <v>20.966037120000003</v>
      </c>
    </row>
    <row r="367" spans="1:7" ht="12.75">
      <c r="A367" s="785" t="s">
        <v>446</v>
      </c>
      <c r="B367" s="786"/>
      <c r="C367" s="786"/>
      <c r="D367" s="786"/>
      <c r="E367" s="786"/>
      <c r="F367" s="787"/>
      <c r="G367" s="440">
        <f>SUM(G365:G366)</f>
        <v>20.966037120000003</v>
      </c>
    </row>
    <row r="368" spans="1:7" ht="12.75">
      <c r="A368" s="491" t="s">
        <v>83</v>
      </c>
      <c r="B368" s="799" t="s">
        <v>1265</v>
      </c>
      <c r="C368" s="799"/>
      <c r="D368" s="799"/>
      <c r="E368" s="799"/>
      <c r="F368" s="799"/>
      <c r="G368" s="800"/>
    </row>
    <row r="369" spans="1:7" ht="12.75">
      <c r="A369" s="804"/>
      <c r="B369" s="805"/>
      <c r="C369" s="805"/>
      <c r="D369" s="805"/>
      <c r="E369" s="805"/>
      <c r="F369" s="805"/>
      <c r="G369" s="806"/>
    </row>
    <row r="370" spans="1:7" ht="12.75">
      <c r="A370" s="594"/>
      <c r="B370" s="595"/>
      <c r="C370" s="595"/>
      <c r="D370" s="595"/>
      <c r="E370" s="595"/>
      <c r="F370" s="595"/>
      <c r="G370" s="596"/>
    </row>
    <row r="371" spans="1:7" ht="12.75">
      <c r="A371" s="704" t="s">
        <v>1587</v>
      </c>
      <c r="B371" s="704" t="s">
        <v>1620</v>
      </c>
      <c r="C371" s="595"/>
      <c r="D371" s="595"/>
      <c r="E371" s="595"/>
      <c r="F371" s="595"/>
      <c r="G371" s="596"/>
    </row>
    <row r="372" spans="1:7" ht="12.75">
      <c r="A372" s="704" t="s">
        <v>1659</v>
      </c>
      <c r="B372" s="704"/>
      <c r="C372" s="595"/>
      <c r="D372" s="595"/>
      <c r="E372" s="595"/>
      <c r="F372" s="595"/>
      <c r="G372" s="596"/>
    </row>
    <row r="373" spans="1:7" ht="25.5">
      <c r="A373" s="171" t="s">
        <v>473</v>
      </c>
      <c r="B373" s="182" t="s">
        <v>138</v>
      </c>
      <c r="C373" s="172" t="s">
        <v>72</v>
      </c>
      <c r="D373" s="172" t="s">
        <v>4</v>
      </c>
      <c r="E373" s="373"/>
      <c r="F373" s="374"/>
      <c r="G373" s="375"/>
    </row>
    <row r="374" spans="1:7" ht="38.25">
      <c r="A374" s="173">
        <v>4430</v>
      </c>
      <c r="B374" s="174" t="s">
        <v>1396</v>
      </c>
      <c r="C374" s="172" t="s">
        <v>1230</v>
      </c>
      <c r="D374" s="172" t="s">
        <v>71</v>
      </c>
      <c r="E374" s="373">
        <v>0.15</v>
      </c>
      <c r="F374" s="374">
        <v>12.01</v>
      </c>
      <c r="G374" s="436">
        <f>E374*F374</f>
        <v>1.8014999999999999</v>
      </c>
    </row>
    <row r="375" spans="1:7" ht="25.5">
      <c r="A375" s="173">
        <v>5061</v>
      </c>
      <c r="B375" s="174" t="s">
        <v>430</v>
      </c>
      <c r="C375" s="172" t="s">
        <v>1230</v>
      </c>
      <c r="D375" s="172" t="s">
        <v>424</v>
      </c>
      <c r="E375" s="373">
        <v>0.006</v>
      </c>
      <c r="F375" s="374">
        <v>9.5</v>
      </c>
      <c r="G375" s="436">
        <f>E375*F375</f>
        <v>0.057</v>
      </c>
    </row>
    <row r="376" spans="1:7" ht="38.25">
      <c r="A376" s="173">
        <v>6186</v>
      </c>
      <c r="B376" s="174" t="s">
        <v>1397</v>
      </c>
      <c r="C376" s="172" t="s">
        <v>1230</v>
      </c>
      <c r="D376" s="172" t="s">
        <v>71</v>
      </c>
      <c r="E376" s="373">
        <v>1</v>
      </c>
      <c r="F376" s="374">
        <v>8.83</v>
      </c>
      <c r="G376" s="436">
        <f>E376*F376</f>
        <v>8.83</v>
      </c>
    </row>
    <row r="377" spans="1:7" ht="25.5">
      <c r="A377" s="173" t="s">
        <v>1308</v>
      </c>
      <c r="B377" s="174" t="s">
        <v>434</v>
      </c>
      <c r="C377" s="175" t="s">
        <v>72</v>
      </c>
      <c r="D377" s="175" t="s">
        <v>77</v>
      </c>
      <c r="E377" s="434">
        <v>0.15</v>
      </c>
      <c r="F377" s="435">
        <v>15.07</v>
      </c>
      <c r="G377" s="436">
        <f>E377*F377</f>
        <v>2.2605</v>
      </c>
    </row>
    <row r="378" spans="1:7" ht="25.5">
      <c r="A378" s="173" t="s">
        <v>1309</v>
      </c>
      <c r="B378" s="174" t="s">
        <v>438</v>
      </c>
      <c r="C378" s="175" t="s">
        <v>72</v>
      </c>
      <c r="D378" s="175" t="s">
        <v>77</v>
      </c>
      <c r="E378" s="434">
        <v>0.15</v>
      </c>
      <c r="F378" s="435">
        <v>12.64</v>
      </c>
      <c r="G378" s="436">
        <f>E378*F378</f>
        <v>1.896</v>
      </c>
    </row>
    <row r="379" spans="1:7" ht="12.75">
      <c r="A379" s="783" t="s">
        <v>439</v>
      </c>
      <c r="B379" s="784"/>
      <c r="C379" s="784"/>
      <c r="D379" s="784"/>
      <c r="E379" s="784"/>
      <c r="F379" s="784"/>
      <c r="G379" s="440">
        <f>SUM(G377:G378)</f>
        <v>4.156499999999999</v>
      </c>
    </row>
    <row r="380" spans="1:7" ht="12.75">
      <c r="A380" s="783" t="s">
        <v>440</v>
      </c>
      <c r="B380" s="784"/>
      <c r="C380" s="784"/>
      <c r="D380" s="784"/>
      <c r="E380" s="784"/>
      <c r="F380" s="784"/>
      <c r="G380" s="440">
        <f>SUM(G374:G376)</f>
        <v>10.6885</v>
      </c>
    </row>
    <row r="381" spans="1:7" ht="12.75">
      <c r="A381" s="783" t="s">
        <v>441</v>
      </c>
      <c r="B381" s="784"/>
      <c r="C381" s="784"/>
      <c r="D381" s="784"/>
      <c r="E381" s="784"/>
      <c r="F381" s="784"/>
      <c r="G381" s="440">
        <f>SUM(G379:G380)</f>
        <v>14.844999999999999</v>
      </c>
    </row>
    <row r="382" spans="1:7" ht="12.75">
      <c r="A382" s="783" t="s">
        <v>442</v>
      </c>
      <c r="B382" s="784"/>
      <c r="C382" s="784"/>
      <c r="D382" s="784"/>
      <c r="E382" s="784"/>
      <c r="F382" s="784"/>
      <c r="G382" s="440">
        <f>G379*85.16%</f>
        <v>3.5396753999999993</v>
      </c>
    </row>
    <row r="383" spans="1:7" ht="12.75">
      <c r="A383" s="783" t="s">
        <v>443</v>
      </c>
      <c r="B383" s="784"/>
      <c r="C383" s="784"/>
      <c r="D383" s="784"/>
      <c r="E383" s="784"/>
      <c r="F383" s="784"/>
      <c r="G383" s="440">
        <f>G382</f>
        <v>3.5396753999999993</v>
      </c>
    </row>
    <row r="384" spans="1:7" ht="12.75">
      <c r="A384" s="785" t="s">
        <v>444</v>
      </c>
      <c r="B384" s="786"/>
      <c r="C384" s="786"/>
      <c r="D384" s="786"/>
      <c r="E384" s="786"/>
      <c r="F384" s="787"/>
      <c r="G384" s="440">
        <f>G380</f>
        <v>10.6885</v>
      </c>
    </row>
    <row r="385" spans="1:7" ht="12.75">
      <c r="A385" s="785" t="s">
        <v>445</v>
      </c>
      <c r="B385" s="786"/>
      <c r="C385" s="786"/>
      <c r="D385" s="786"/>
      <c r="E385" s="786"/>
      <c r="F385" s="787"/>
      <c r="G385" s="440">
        <f>G379+G383</f>
        <v>7.696175399999999</v>
      </c>
    </row>
    <row r="386" spans="1:7" ht="12.75">
      <c r="A386" s="785" t="s">
        <v>446</v>
      </c>
      <c r="B386" s="786"/>
      <c r="C386" s="786"/>
      <c r="D386" s="786"/>
      <c r="E386" s="786"/>
      <c r="F386" s="787"/>
      <c r="G386" s="440">
        <f>SUM(G384:G385)</f>
        <v>18.3846754</v>
      </c>
    </row>
    <row r="387" spans="1:7" ht="12.75">
      <c r="A387" s="796"/>
      <c r="B387" s="797"/>
      <c r="C387" s="797"/>
      <c r="D387" s="797"/>
      <c r="E387" s="797"/>
      <c r="F387" s="797"/>
      <c r="G387" s="798"/>
    </row>
    <row r="388" spans="1:7" ht="12.75">
      <c r="A388" s="183" t="s">
        <v>83</v>
      </c>
      <c r="B388" s="805" t="s">
        <v>474</v>
      </c>
      <c r="C388" s="805"/>
      <c r="D388" s="805"/>
      <c r="E388" s="805"/>
      <c r="F388" s="805"/>
      <c r="G388" s="806"/>
    </row>
    <row r="389" spans="1:7" ht="12.75">
      <c r="A389" s="804"/>
      <c r="B389" s="805"/>
      <c r="C389" s="805"/>
      <c r="D389" s="805"/>
      <c r="E389" s="805"/>
      <c r="F389" s="805"/>
      <c r="G389" s="806"/>
    </row>
    <row r="390" spans="1:7" ht="12.75">
      <c r="A390" s="594"/>
      <c r="B390" s="595"/>
      <c r="C390" s="595"/>
      <c r="D390" s="595"/>
      <c r="E390" s="595"/>
      <c r="F390" s="595"/>
      <c r="G390" s="596"/>
    </row>
    <row r="391" spans="1:7" ht="12.75">
      <c r="A391" s="704" t="s">
        <v>1623</v>
      </c>
      <c r="B391" s="704" t="s">
        <v>1624</v>
      </c>
      <c r="C391" s="595"/>
      <c r="D391" s="595"/>
      <c r="E391" s="595"/>
      <c r="F391" s="595"/>
      <c r="G391" s="596"/>
    </row>
    <row r="392" spans="1:7" ht="12.75">
      <c r="A392" s="704" t="s">
        <v>1655</v>
      </c>
      <c r="B392" s="704"/>
      <c r="C392" s="595"/>
      <c r="D392" s="595"/>
      <c r="E392" s="595"/>
      <c r="F392" s="595"/>
      <c r="G392" s="596"/>
    </row>
    <row r="393" spans="1:7" ht="25.5">
      <c r="A393" s="171" t="s">
        <v>447</v>
      </c>
      <c r="B393" s="182" t="s">
        <v>448</v>
      </c>
      <c r="C393" s="172" t="s">
        <v>72</v>
      </c>
      <c r="D393" s="172" t="s">
        <v>82</v>
      </c>
      <c r="E393" s="373"/>
      <c r="F393" s="374"/>
      <c r="G393" s="375"/>
    </row>
    <row r="394" spans="1:7" ht="25.5">
      <c r="A394" s="173" t="s">
        <v>449</v>
      </c>
      <c r="B394" s="174" t="s">
        <v>450</v>
      </c>
      <c r="C394" s="175" t="s">
        <v>72</v>
      </c>
      <c r="D394" s="175" t="s">
        <v>77</v>
      </c>
      <c r="E394" s="434">
        <v>0.35</v>
      </c>
      <c r="F394" s="435">
        <v>15.14</v>
      </c>
      <c r="G394" s="436">
        <f>E394*F394</f>
        <v>5.2989999999999995</v>
      </c>
    </row>
    <row r="395" spans="1:7" ht="25.5">
      <c r="A395" s="173" t="s">
        <v>437</v>
      </c>
      <c r="B395" s="174" t="s">
        <v>438</v>
      </c>
      <c r="C395" s="175" t="s">
        <v>72</v>
      </c>
      <c r="D395" s="175" t="s">
        <v>77</v>
      </c>
      <c r="E395" s="434">
        <v>0.35</v>
      </c>
      <c r="F395" s="435">
        <v>12.64</v>
      </c>
      <c r="G395" s="436">
        <f>E395*F395</f>
        <v>4.4239999999999995</v>
      </c>
    </row>
    <row r="396" spans="1:7" ht="12.75">
      <c r="A396" s="783" t="s">
        <v>439</v>
      </c>
      <c r="B396" s="784"/>
      <c r="C396" s="784"/>
      <c r="D396" s="784"/>
      <c r="E396" s="784"/>
      <c r="F396" s="784"/>
      <c r="G396" s="440">
        <f>SUM(G394:G395)</f>
        <v>9.722999999999999</v>
      </c>
    </row>
    <row r="397" spans="1:7" ht="12.75">
      <c r="A397" s="783" t="s">
        <v>440</v>
      </c>
      <c r="B397" s="784"/>
      <c r="C397" s="784"/>
      <c r="D397" s="784"/>
      <c r="E397" s="784"/>
      <c r="F397" s="784"/>
      <c r="G397" s="440">
        <f>0</f>
        <v>0</v>
      </c>
    </row>
    <row r="398" spans="1:7" ht="12.75">
      <c r="A398" s="783" t="s">
        <v>441</v>
      </c>
      <c r="B398" s="784"/>
      <c r="C398" s="784"/>
      <c r="D398" s="784"/>
      <c r="E398" s="784"/>
      <c r="F398" s="784"/>
      <c r="G398" s="440">
        <f>SUM(G396:G397)</f>
        <v>9.722999999999999</v>
      </c>
    </row>
    <row r="399" spans="1:7" ht="12.75">
      <c r="A399" s="783" t="s">
        <v>442</v>
      </c>
      <c r="B399" s="784"/>
      <c r="C399" s="784"/>
      <c r="D399" s="784"/>
      <c r="E399" s="784"/>
      <c r="F399" s="784"/>
      <c r="G399" s="440">
        <f>G396*85.16%</f>
        <v>8.280106799999999</v>
      </c>
    </row>
    <row r="400" spans="1:7" ht="12.75">
      <c r="A400" s="783" t="s">
        <v>443</v>
      </c>
      <c r="B400" s="784"/>
      <c r="C400" s="784"/>
      <c r="D400" s="784"/>
      <c r="E400" s="784"/>
      <c r="F400" s="784"/>
      <c r="G400" s="440">
        <f>G399</f>
        <v>8.280106799999999</v>
      </c>
    </row>
    <row r="401" spans="1:7" ht="12.75">
      <c r="A401" s="785" t="s">
        <v>444</v>
      </c>
      <c r="B401" s="786"/>
      <c r="C401" s="786"/>
      <c r="D401" s="786"/>
      <c r="E401" s="786"/>
      <c r="F401" s="787"/>
      <c r="G401" s="440">
        <f>G397</f>
        <v>0</v>
      </c>
    </row>
    <row r="402" spans="1:7" ht="12.75">
      <c r="A402" s="785" t="s">
        <v>445</v>
      </c>
      <c r="B402" s="786"/>
      <c r="C402" s="786"/>
      <c r="D402" s="786"/>
      <c r="E402" s="786"/>
      <c r="F402" s="787"/>
      <c r="G402" s="440">
        <f>G396+G400</f>
        <v>18.003106799999998</v>
      </c>
    </row>
    <row r="403" spans="1:7" ht="12.75">
      <c r="A403" s="785" t="s">
        <v>446</v>
      </c>
      <c r="B403" s="786"/>
      <c r="C403" s="786"/>
      <c r="D403" s="786"/>
      <c r="E403" s="786"/>
      <c r="F403" s="787"/>
      <c r="G403" s="440">
        <f>SUM(G401:G402)</f>
        <v>18.003106799999998</v>
      </c>
    </row>
    <row r="404" spans="1:7" ht="12.75">
      <c r="A404" s="796"/>
      <c r="B404" s="797"/>
      <c r="C404" s="797"/>
      <c r="D404" s="797"/>
      <c r="E404" s="797"/>
      <c r="F404" s="797"/>
      <c r="G404" s="798"/>
    </row>
    <row r="405" spans="1:7" ht="12.75">
      <c r="A405" s="491" t="s">
        <v>83</v>
      </c>
      <c r="B405" s="799" t="s">
        <v>451</v>
      </c>
      <c r="C405" s="799"/>
      <c r="D405" s="799"/>
      <c r="E405" s="799"/>
      <c r="F405" s="799"/>
      <c r="G405" s="800"/>
    </row>
    <row r="406" spans="1:7" ht="12.75">
      <c r="A406" s="804"/>
      <c r="B406" s="805"/>
      <c r="C406" s="805"/>
      <c r="D406" s="805"/>
      <c r="E406" s="805"/>
      <c r="F406" s="805"/>
      <c r="G406" s="806"/>
    </row>
    <row r="407" spans="1:7" ht="12.75">
      <c r="A407" s="594"/>
      <c r="B407" s="595"/>
      <c r="C407" s="595"/>
      <c r="D407" s="595"/>
      <c r="E407" s="595"/>
      <c r="F407" s="595"/>
      <c r="G407" s="596"/>
    </row>
    <row r="408" spans="1:7" ht="12.75">
      <c r="A408" s="704" t="s">
        <v>1638</v>
      </c>
      <c r="B408" s="704" t="s">
        <v>1637</v>
      </c>
      <c r="C408" s="595"/>
      <c r="D408" s="595"/>
      <c r="E408" s="595"/>
      <c r="F408" s="595"/>
      <c r="G408" s="596"/>
    </row>
    <row r="409" spans="1:7" ht="12.75">
      <c r="A409" s="704" t="s">
        <v>1646</v>
      </c>
      <c r="B409" s="704"/>
      <c r="C409" s="595"/>
      <c r="D409" s="595"/>
      <c r="E409" s="595"/>
      <c r="F409" s="595"/>
      <c r="G409" s="596"/>
    </row>
    <row r="410" spans="1:7" s="177" customFormat="1" ht="25.5">
      <c r="A410" s="287" t="s">
        <v>1201</v>
      </c>
      <c r="B410" s="288" t="s">
        <v>1202</v>
      </c>
      <c r="C410" s="289" t="s">
        <v>72</v>
      </c>
      <c r="D410" s="289" t="s">
        <v>272</v>
      </c>
      <c r="E410" s="447"/>
      <c r="F410" s="448"/>
      <c r="G410" s="449"/>
    </row>
    <row r="411" spans="1:7" ht="25.5">
      <c r="A411" s="290" t="s">
        <v>1203</v>
      </c>
      <c r="B411" s="291" t="s">
        <v>1205</v>
      </c>
      <c r="C411" s="292" t="s">
        <v>73</v>
      </c>
      <c r="D411" s="292" t="s">
        <v>272</v>
      </c>
      <c r="E411" s="464">
        <v>1</v>
      </c>
      <c r="F411" s="465">
        <v>218.54</v>
      </c>
      <c r="G411" s="436">
        <f>E411*F411</f>
        <v>218.54</v>
      </c>
    </row>
    <row r="412" spans="1:7" ht="25.5">
      <c r="A412" s="290" t="s">
        <v>1206</v>
      </c>
      <c r="B412" s="291" t="s">
        <v>1207</v>
      </c>
      <c r="C412" s="175" t="s">
        <v>72</v>
      </c>
      <c r="D412" s="292" t="s">
        <v>77</v>
      </c>
      <c r="E412" s="464">
        <v>33.83494373</v>
      </c>
      <c r="F412" s="465">
        <v>49.28</v>
      </c>
      <c r="G412" s="436">
        <f>E412*F412</f>
        <v>1667.3860270144</v>
      </c>
    </row>
    <row r="413" spans="1:7" ht="12.75">
      <c r="A413" s="807" t="s">
        <v>439</v>
      </c>
      <c r="B413" s="808"/>
      <c r="C413" s="808"/>
      <c r="D413" s="808"/>
      <c r="E413" s="808"/>
      <c r="F413" s="808"/>
      <c r="G413" s="440">
        <f>SUM(G412)</f>
        <v>1667.3860270144</v>
      </c>
    </row>
    <row r="414" spans="1:7" ht="12.75">
      <c r="A414" s="807" t="s">
        <v>440</v>
      </c>
      <c r="B414" s="808"/>
      <c r="C414" s="808"/>
      <c r="D414" s="808"/>
      <c r="E414" s="808"/>
      <c r="F414" s="808"/>
      <c r="G414" s="440">
        <f>SUM(G411)</f>
        <v>218.54</v>
      </c>
    </row>
    <row r="415" spans="1:7" ht="12.75">
      <c r="A415" s="807" t="s">
        <v>441</v>
      </c>
      <c r="B415" s="808"/>
      <c r="C415" s="808"/>
      <c r="D415" s="808"/>
      <c r="E415" s="808"/>
      <c r="F415" s="808"/>
      <c r="G415" s="440">
        <f>SUM(G413:G414)</f>
        <v>1885.9260270144</v>
      </c>
    </row>
    <row r="416" spans="1:7" ht="12.75">
      <c r="A416" s="807" t="s">
        <v>442</v>
      </c>
      <c r="B416" s="808"/>
      <c r="C416" s="808"/>
      <c r="D416" s="808"/>
      <c r="E416" s="808"/>
      <c r="F416" s="808"/>
      <c r="G416" s="440">
        <f>G413*85.16%</f>
        <v>1419.945940605463</v>
      </c>
    </row>
    <row r="417" spans="1:7" ht="12.75">
      <c r="A417" s="807" t="s">
        <v>443</v>
      </c>
      <c r="B417" s="808"/>
      <c r="C417" s="808"/>
      <c r="D417" s="808"/>
      <c r="E417" s="808"/>
      <c r="F417" s="808"/>
      <c r="G417" s="440">
        <f>G416</f>
        <v>1419.945940605463</v>
      </c>
    </row>
    <row r="418" spans="1:7" ht="12.75">
      <c r="A418" s="785" t="s">
        <v>444</v>
      </c>
      <c r="B418" s="786"/>
      <c r="C418" s="786"/>
      <c r="D418" s="786"/>
      <c r="E418" s="786"/>
      <c r="F418" s="787"/>
      <c r="G418" s="440">
        <f>G414</f>
        <v>218.54</v>
      </c>
    </row>
    <row r="419" spans="1:7" ht="12.75">
      <c r="A419" s="785" t="s">
        <v>445</v>
      </c>
      <c r="B419" s="786"/>
      <c r="C419" s="786"/>
      <c r="D419" s="786"/>
      <c r="E419" s="786"/>
      <c r="F419" s="787"/>
      <c r="G419" s="440">
        <f>G413+G417</f>
        <v>3087.331967619863</v>
      </c>
    </row>
    <row r="420" spans="1:7" ht="12.75" customHeight="1">
      <c r="A420" s="785" t="s">
        <v>446</v>
      </c>
      <c r="B420" s="786"/>
      <c r="C420" s="786"/>
      <c r="D420" s="786"/>
      <c r="E420" s="786"/>
      <c r="F420" s="787"/>
      <c r="G420" s="440">
        <f>SUM(G418:G419)</f>
        <v>3305.871967619863</v>
      </c>
    </row>
    <row r="421" spans="1:7" ht="12.75">
      <c r="A421" s="796"/>
      <c r="B421" s="797"/>
      <c r="C421" s="797"/>
      <c r="D421" s="797"/>
      <c r="E421" s="797"/>
      <c r="F421" s="797"/>
      <c r="G421" s="798"/>
    </row>
    <row r="422" spans="1:7" ht="12.75">
      <c r="A422" s="491" t="s">
        <v>83</v>
      </c>
      <c r="B422" s="799" t="s">
        <v>451</v>
      </c>
      <c r="C422" s="799"/>
      <c r="D422" s="799"/>
      <c r="E422" s="799"/>
      <c r="F422" s="799"/>
      <c r="G422" s="800"/>
    </row>
    <row r="423" spans="1:7" ht="12.75">
      <c r="A423" s="804"/>
      <c r="B423" s="805"/>
      <c r="C423" s="805"/>
      <c r="D423" s="805"/>
      <c r="E423" s="805"/>
      <c r="F423" s="805"/>
      <c r="G423" s="806"/>
    </row>
    <row r="424" spans="1:7" ht="12.75">
      <c r="A424" s="704" t="s">
        <v>1590</v>
      </c>
      <c r="B424" s="704" t="s">
        <v>1588</v>
      </c>
      <c r="C424" s="704"/>
      <c r="D424" s="595"/>
      <c r="E424" s="595"/>
      <c r="F424" s="595"/>
      <c r="G424" s="596"/>
    </row>
    <row r="425" spans="1:7" ht="12.75">
      <c r="A425" s="704" t="s">
        <v>1589</v>
      </c>
      <c r="B425" s="704" t="s">
        <v>1591</v>
      </c>
      <c r="C425" s="704"/>
      <c r="D425" s="595"/>
      <c r="E425" s="595"/>
      <c r="F425" s="595"/>
      <c r="G425" s="596"/>
    </row>
    <row r="426" spans="1:7" ht="12.75">
      <c r="A426" s="704" t="s">
        <v>1592</v>
      </c>
      <c r="B426" s="704"/>
      <c r="C426" s="704"/>
      <c r="D426" s="595"/>
      <c r="E426" s="595"/>
      <c r="F426" s="595"/>
      <c r="G426" s="596"/>
    </row>
    <row r="427" spans="1:7" ht="4.5" customHeight="1">
      <c r="A427" s="594"/>
      <c r="B427" s="595"/>
      <c r="C427" s="595"/>
      <c r="D427" s="595"/>
      <c r="E427" s="595"/>
      <c r="F427" s="595"/>
      <c r="G427" s="596"/>
    </row>
    <row r="428" spans="1:7" ht="51">
      <c r="A428" s="176" t="s">
        <v>1150</v>
      </c>
      <c r="B428" s="182" t="s">
        <v>511</v>
      </c>
      <c r="C428" s="172" t="s">
        <v>72</v>
      </c>
      <c r="D428" s="172" t="s">
        <v>82</v>
      </c>
      <c r="E428" s="373"/>
      <c r="F428" s="374"/>
      <c r="G428" s="375"/>
    </row>
    <row r="429" spans="1:7" ht="25.5">
      <c r="A429" s="173" t="s">
        <v>512</v>
      </c>
      <c r="B429" s="174" t="s">
        <v>513</v>
      </c>
      <c r="C429" s="175" t="s">
        <v>73</v>
      </c>
      <c r="D429" s="175" t="s">
        <v>75</v>
      </c>
      <c r="E429" s="434">
        <v>83</v>
      </c>
      <c r="F429" s="435">
        <v>0.27</v>
      </c>
      <c r="G429" s="436">
        <f>E429*F429</f>
        <v>22.41</v>
      </c>
    </row>
    <row r="430" spans="1:7" ht="76.5">
      <c r="A430" s="173" t="s">
        <v>514</v>
      </c>
      <c r="B430" s="174" t="s">
        <v>515</v>
      </c>
      <c r="C430" s="175" t="s">
        <v>72</v>
      </c>
      <c r="D430" s="175" t="s">
        <v>477</v>
      </c>
      <c r="E430" s="434">
        <v>0.00456</v>
      </c>
      <c r="F430" s="435">
        <v>345.11</v>
      </c>
      <c r="G430" s="436">
        <f>E430*F430</f>
        <v>1.5737016</v>
      </c>
    </row>
    <row r="431" spans="1:7" ht="25.5">
      <c r="A431" s="173" t="s">
        <v>449</v>
      </c>
      <c r="B431" s="174" t="s">
        <v>450</v>
      </c>
      <c r="C431" s="175" t="s">
        <v>72</v>
      </c>
      <c r="D431" s="175" t="s">
        <v>77</v>
      </c>
      <c r="E431" s="434">
        <v>0.9</v>
      </c>
      <c r="F431" s="435">
        <v>15.14</v>
      </c>
      <c r="G431" s="436">
        <f>E431*F431</f>
        <v>13.626000000000001</v>
      </c>
    </row>
    <row r="432" spans="1:7" ht="25.5">
      <c r="A432" s="173" t="s">
        <v>437</v>
      </c>
      <c r="B432" s="174" t="s">
        <v>438</v>
      </c>
      <c r="C432" s="175" t="s">
        <v>72</v>
      </c>
      <c r="D432" s="175" t="s">
        <v>77</v>
      </c>
      <c r="E432" s="434">
        <v>0.9344</v>
      </c>
      <c r="F432" s="435">
        <v>12.64</v>
      </c>
      <c r="G432" s="436">
        <f>E432*F432</f>
        <v>11.810816</v>
      </c>
    </row>
    <row r="433" spans="1:7" ht="12.75">
      <c r="A433" s="783" t="s">
        <v>439</v>
      </c>
      <c r="B433" s="784"/>
      <c r="C433" s="784"/>
      <c r="D433" s="784"/>
      <c r="E433" s="784"/>
      <c r="F433" s="784"/>
      <c r="G433" s="440">
        <f>SUM(G430:G432)</f>
        <v>27.0105176</v>
      </c>
    </row>
    <row r="434" spans="1:7" ht="12.75">
      <c r="A434" s="783" t="s">
        <v>440</v>
      </c>
      <c r="B434" s="784"/>
      <c r="C434" s="784"/>
      <c r="D434" s="784"/>
      <c r="E434" s="784"/>
      <c r="F434" s="784"/>
      <c r="G434" s="440">
        <f>SUM(G429)</f>
        <v>22.41</v>
      </c>
    </row>
    <row r="435" spans="1:7" ht="12.75">
      <c r="A435" s="783" t="s">
        <v>441</v>
      </c>
      <c r="B435" s="784"/>
      <c r="C435" s="784"/>
      <c r="D435" s="784"/>
      <c r="E435" s="784"/>
      <c r="F435" s="784"/>
      <c r="G435" s="440">
        <f>SUM(G433:G434)</f>
        <v>49.4205176</v>
      </c>
    </row>
    <row r="436" spans="1:7" ht="12.75">
      <c r="A436" s="783" t="s">
        <v>442</v>
      </c>
      <c r="B436" s="784"/>
      <c r="C436" s="784"/>
      <c r="D436" s="784"/>
      <c r="E436" s="784"/>
      <c r="F436" s="784"/>
      <c r="G436" s="440">
        <f>G433*85.16%</f>
        <v>23.002156788159997</v>
      </c>
    </row>
    <row r="437" spans="1:7" ht="12.75">
      <c r="A437" s="783" t="s">
        <v>443</v>
      </c>
      <c r="B437" s="784"/>
      <c r="C437" s="784"/>
      <c r="D437" s="784"/>
      <c r="E437" s="784"/>
      <c r="F437" s="784"/>
      <c r="G437" s="440">
        <f>G436</f>
        <v>23.002156788159997</v>
      </c>
    </row>
    <row r="438" spans="1:7" ht="12.75">
      <c r="A438" s="785" t="s">
        <v>444</v>
      </c>
      <c r="B438" s="786"/>
      <c r="C438" s="786"/>
      <c r="D438" s="786"/>
      <c r="E438" s="786"/>
      <c r="F438" s="787"/>
      <c r="G438" s="440">
        <f>G434</f>
        <v>22.41</v>
      </c>
    </row>
    <row r="439" spans="1:7" ht="12.75">
      <c r="A439" s="785" t="s">
        <v>445</v>
      </c>
      <c r="B439" s="786"/>
      <c r="C439" s="786"/>
      <c r="D439" s="786"/>
      <c r="E439" s="786"/>
      <c r="F439" s="787"/>
      <c r="G439" s="440">
        <f>G433+G437</f>
        <v>50.012674388159994</v>
      </c>
    </row>
    <row r="440" spans="1:7" ht="12.75">
      <c r="A440" s="785" t="s">
        <v>446</v>
      </c>
      <c r="B440" s="786"/>
      <c r="C440" s="786"/>
      <c r="D440" s="786"/>
      <c r="E440" s="786"/>
      <c r="F440" s="787"/>
      <c r="G440" s="440">
        <f>SUM(G438:G439)</f>
        <v>72.42267438815999</v>
      </c>
    </row>
    <row r="441" spans="1:7" ht="12.75">
      <c r="A441" s="796"/>
      <c r="B441" s="797"/>
      <c r="C441" s="797"/>
      <c r="D441" s="797"/>
      <c r="E441" s="797"/>
      <c r="F441" s="797"/>
      <c r="G441" s="798"/>
    </row>
    <row r="442" spans="1:7" ht="12.75">
      <c r="A442" s="804"/>
      <c r="B442" s="805"/>
      <c r="C442" s="805"/>
      <c r="D442" s="805"/>
      <c r="E442" s="805"/>
      <c r="F442" s="805"/>
      <c r="G442" s="806"/>
    </row>
    <row r="443" spans="1:7" ht="12.75">
      <c r="A443" s="704" t="s">
        <v>1595</v>
      </c>
      <c r="B443" s="595"/>
      <c r="C443" s="595"/>
      <c r="D443" s="595"/>
      <c r="E443" s="595"/>
      <c r="F443" s="595"/>
      <c r="G443" s="596"/>
    </row>
    <row r="444" spans="1:7" ht="25.5">
      <c r="A444" s="176" t="s">
        <v>1151</v>
      </c>
      <c r="B444" s="597" t="s">
        <v>1146</v>
      </c>
      <c r="C444" s="172" t="s">
        <v>72</v>
      </c>
      <c r="D444" s="172" t="s">
        <v>82</v>
      </c>
      <c r="E444" s="373"/>
      <c r="F444" s="374"/>
      <c r="G444" s="375"/>
    </row>
    <row r="445" spans="1:7" ht="12.75">
      <c r="A445" s="173" t="s">
        <v>524</v>
      </c>
      <c r="B445" s="174" t="s">
        <v>525</v>
      </c>
      <c r="C445" s="175" t="s">
        <v>73</v>
      </c>
      <c r="D445" s="175" t="s">
        <v>424</v>
      </c>
      <c r="E445" s="434">
        <v>0.7</v>
      </c>
      <c r="F445" s="435">
        <v>0.47</v>
      </c>
      <c r="G445" s="436">
        <f>E445*F445</f>
        <v>0.32899999999999996</v>
      </c>
    </row>
    <row r="446" spans="1:7" ht="63.75">
      <c r="A446" s="173" t="s">
        <v>1147</v>
      </c>
      <c r="B446" s="174" t="s">
        <v>1148</v>
      </c>
      <c r="C446" s="175" t="s">
        <v>73</v>
      </c>
      <c r="D446" s="175" t="s">
        <v>82</v>
      </c>
      <c r="E446" s="434">
        <v>1</v>
      </c>
      <c r="F446" s="435">
        <v>501.88</v>
      </c>
      <c r="G446" s="436">
        <f>E446*F446</f>
        <v>501.88</v>
      </c>
    </row>
    <row r="447" spans="1:7" ht="25.5">
      <c r="A447" s="173" t="s">
        <v>518</v>
      </c>
      <c r="B447" s="174" t="s">
        <v>519</v>
      </c>
      <c r="C447" s="175" t="s">
        <v>72</v>
      </c>
      <c r="D447" s="175" t="s">
        <v>77</v>
      </c>
      <c r="E447" s="434">
        <v>4.8</v>
      </c>
      <c r="F447" s="435">
        <v>14.57</v>
      </c>
      <c r="G447" s="436">
        <f>E447*F447</f>
        <v>69.93599999999999</v>
      </c>
    </row>
    <row r="448" spans="1:7" ht="25.5">
      <c r="A448" s="173" t="s">
        <v>437</v>
      </c>
      <c r="B448" s="174" t="s">
        <v>438</v>
      </c>
      <c r="C448" s="175" t="s">
        <v>72</v>
      </c>
      <c r="D448" s="175" t="s">
        <v>77</v>
      </c>
      <c r="E448" s="434">
        <v>2.3</v>
      </c>
      <c r="F448" s="435">
        <v>12.68</v>
      </c>
      <c r="G448" s="436">
        <f>E448*F448</f>
        <v>29.163999999999998</v>
      </c>
    </row>
    <row r="449" spans="1:7" ht="38.25">
      <c r="A449" s="173" t="s">
        <v>520</v>
      </c>
      <c r="B449" s="174" t="s">
        <v>521</v>
      </c>
      <c r="C449" s="175" t="s">
        <v>72</v>
      </c>
      <c r="D449" s="175" t="s">
        <v>477</v>
      </c>
      <c r="E449" s="434">
        <v>0.0033</v>
      </c>
      <c r="F449" s="435">
        <v>346.67</v>
      </c>
      <c r="G449" s="436">
        <f>E449*F449</f>
        <v>1.1440110000000001</v>
      </c>
    </row>
    <row r="450" spans="1:7" ht="12.75">
      <c r="A450" s="783" t="s">
        <v>439</v>
      </c>
      <c r="B450" s="784"/>
      <c r="C450" s="784"/>
      <c r="D450" s="784"/>
      <c r="E450" s="784"/>
      <c r="F450" s="784"/>
      <c r="G450" s="440">
        <f>SUM(G447:G448)</f>
        <v>99.1</v>
      </c>
    </row>
    <row r="451" spans="1:7" ht="12.75">
      <c r="A451" s="783" t="s">
        <v>440</v>
      </c>
      <c r="B451" s="784"/>
      <c r="C451" s="784"/>
      <c r="D451" s="784"/>
      <c r="E451" s="784"/>
      <c r="F451" s="784"/>
      <c r="G451" s="440">
        <f>SUM(G445:G446)+G449</f>
        <v>503.353011</v>
      </c>
    </row>
    <row r="452" spans="1:7" ht="12.75">
      <c r="A452" s="783" t="s">
        <v>441</v>
      </c>
      <c r="B452" s="784"/>
      <c r="C452" s="784"/>
      <c r="D452" s="784"/>
      <c r="E452" s="784"/>
      <c r="F452" s="784"/>
      <c r="G452" s="440">
        <f>SUM(G450:G451)</f>
        <v>602.453011</v>
      </c>
    </row>
    <row r="453" spans="1:7" ht="12.75">
      <c r="A453" s="783" t="s">
        <v>442</v>
      </c>
      <c r="B453" s="784"/>
      <c r="C453" s="784"/>
      <c r="D453" s="784"/>
      <c r="E453" s="784"/>
      <c r="F453" s="784"/>
      <c r="G453" s="440">
        <f>G450*85.16%</f>
        <v>84.39355999999998</v>
      </c>
    </row>
    <row r="454" spans="1:7" ht="12.75">
      <c r="A454" s="783" t="s">
        <v>443</v>
      </c>
      <c r="B454" s="784"/>
      <c r="C454" s="784"/>
      <c r="D454" s="784"/>
      <c r="E454" s="784"/>
      <c r="F454" s="784"/>
      <c r="G454" s="440">
        <f>G453</f>
        <v>84.39355999999998</v>
      </c>
    </row>
    <row r="455" spans="1:7" ht="12.75">
      <c r="A455" s="785" t="s">
        <v>444</v>
      </c>
      <c r="B455" s="786"/>
      <c r="C455" s="786"/>
      <c r="D455" s="786"/>
      <c r="E455" s="786"/>
      <c r="F455" s="787"/>
      <c r="G455" s="440">
        <f>G451</f>
        <v>503.353011</v>
      </c>
    </row>
    <row r="456" spans="1:7" ht="12.75">
      <c r="A456" s="785" t="s">
        <v>445</v>
      </c>
      <c r="B456" s="786"/>
      <c r="C456" s="786"/>
      <c r="D456" s="786"/>
      <c r="E456" s="786"/>
      <c r="F456" s="787"/>
      <c r="G456" s="440">
        <f>G450+G454</f>
        <v>183.49355999999997</v>
      </c>
    </row>
    <row r="457" spans="1:7" ht="12.75">
      <c r="A457" s="785" t="s">
        <v>446</v>
      </c>
      <c r="B457" s="786"/>
      <c r="C457" s="786"/>
      <c r="D457" s="786"/>
      <c r="E457" s="786"/>
      <c r="F457" s="787"/>
      <c r="G457" s="440">
        <f>SUM(G455:G456)</f>
        <v>686.8465709999999</v>
      </c>
    </row>
    <row r="458" spans="1:7" ht="12.75">
      <c r="A458" s="796"/>
      <c r="B458" s="797"/>
      <c r="C458" s="797"/>
      <c r="D458" s="797"/>
      <c r="E458" s="797"/>
      <c r="F458" s="797"/>
      <c r="G458" s="798"/>
    </row>
    <row r="459" spans="1:7" ht="12.75">
      <c r="A459" s="491" t="s">
        <v>83</v>
      </c>
      <c r="B459" s="492" t="s">
        <v>1149</v>
      </c>
      <c r="C459" s="241"/>
      <c r="D459" s="241"/>
      <c r="E459" s="450"/>
      <c r="F459" s="450"/>
      <c r="G459" s="451"/>
    </row>
    <row r="460" spans="1:7" ht="12.75">
      <c r="A460" s="804"/>
      <c r="B460" s="805"/>
      <c r="C460" s="805"/>
      <c r="D460" s="805"/>
      <c r="E460" s="805"/>
      <c r="F460" s="805"/>
      <c r="G460" s="806"/>
    </row>
    <row r="461" spans="1:7" ht="12.75">
      <c r="A461" s="704" t="s">
        <v>1442</v>
      </c>
      <c r="B461" s="704" t="s">
        <v>1443</v>
      </c>
      <c r="C461" s="595"/>
      <c r="D461" s="595"/>
      <c r="E461" s="595"/>
      <c r="F461" s="595"/>
      <c r="G461" s="596"/>
    </row>
    <row r="462" spans="1:7" ht="12.75">
      <c r="A462" s="704" t="s">
        <v>1593</v>
      </c>
      <c r="B462" s="704" t="s">
        <v>1594</v>
      </c>
      <c r="C462" s="595"/>
      <c r="D462" s="595"/>
      <c r="E462" s="595"/>
      <c r="F462" s="595"/>
      <c r="G462" s="596"/>
    </row>
    <row r="463" spans="1:7" ht="12.75">
      <c r="A463" s="704" t="s">
        <v>1667</v>
      </c>
      <c r="B463" s="704"/>
      <c r="C463" s="595"/>
      <c r="D463" s="595"/>
      <c r="E463" s="595"/>
      <c r="F463" s="595"/>
      <c r="G463" s="596"/>
    </row>
    <row r="464" spans="1:7" ht="5.25" customHeight="1">
      <c r="A464" s="804"/>
      <c r="B464" s="805"/>
      <c r="C464" s="805"/>
      <c r="D464" s="805"/>
      <c r="E464" s="805"/>
      <c r="F464" s="805"/>
      <c r="G464" s="806"/>
    </row>
    <row r="465" spans="1:7" ht="140.25">
      <c r="A465" s="499" t="s">
        <v>565</v>
      </c>
      <c r="B465" s="182" t="s">
        <v>144</v>
      </c>
      <c r="C465" s="172" t="s">
        <v>72</v>
      </c>
      <c r="D465" s="172" t="s">
        <v>4</v>
      </c>
      <c r="E465" s="373"/>
      <c r="F465" s="374"/>
      <c r="G465" s="375"/>
    </row>
    <row r="466" spans="1:7" ht="25.5">
      <c r="A466" s="173" t="s">
        <v>547</v>
      </c>
      <c r="B466" s="174" t="s">
        <v>548</v>
      </c>
      <c r="C466" s="175" t="s">
        <v>73</v>
      </c>
      <c r="D466" s="175" t="s">
        <v>75</v>
      </c>
      <c r="E466" s="434">
        <v>1</v>
      </c>
      <c r="F466" s="435">
        <v>22.36</v>
      </c>
      <c r="G466" s="436">
        <f>E466*F466</f>
        <v>22.36</v>
      </c>
    </row>
    <row r="467" spans="1:7" ht="51">
      <c r="A467" s="173" t="s">
        <v>537</v>
      </c>
      <c r="B467" s="174" t="s">
        <v>538</v>
      </c>
      <c r="C467" s="175" t="s">
        <v>73</v>
      </c>
      <c r="D467" s="175" t="s">
        <v>75</v>
      </c>
      <c r="E467" s="434">
        <v>8</v>
      </c>
      <c r="F467" s="435">
        <v>0.31</v>
      </c>
      <c r="G467" s="436">
        <f aca="true" t="shared" si="4" ref="G467:G477">E467*F467</f>
        <v>2.48</v>
      </c>
    </row>
    <row r="468" spans="1:7" ht="38.25">
      <c r="A468" s="173" t="s">
        <v>551</v>
      </c>
      <c r="B468" s="174" t="s">
        <v>552</v>
      </c>
      <c r="C468" s="175" t="s">
        <v>73</v>
      </c>
      <c r="D468" s="175" t="s">
        <v>82</v>
      </c>
      <c r="E468" s="434">
        <v>0.16</v>
      </c>
      <c r="F468" s="435">
        <v>552.02</v>
      </c>
      <c r="G468" s="436">
        <f t="shared" si="4"/>
        <v>88.3232</v>
      </c>
    </row>
    <row r="469" spans="1:7" ht="38.25">
      <c r="A469" s="173" t="s">
        <v>553</v>
      </c>
      <c r="B469" s="174" t="s">
        <v>554</v>
      </c>
      <c r="C469" s="175" t="s">
        <v>73</v>
      </c>
      <c r="D469" s="175" t="s">
        <v>75</v>
      </c>
      <c r="E469" s="434">
        <v>1</v>
      </c>
      <c r="F469" s="435">
        <v>114</v>
      </c>
      <c r="G469" s="436">
        <f t="shared" si="4"/>
        <v>114</v>
      </c>
    </row>
    <row r="470" spans="1:7" ht="12.75">
      <c r="A470" s="173" t="s">
        <v>555</v>
      </c>
      <c r="B470" s="174" t="s">
        <v>556</v>
      </c>
      <c r="C470" s="175" t="s">
        <v>73</v>
      </c>
      <c r="D470" s="175" t="s">
        <v>424</v>
      </c>
      <c r="E470" s="434">
        <v>0.1</v>
      </c>
      <c r="F470" s="435">
        <v>22.18</v>
      </c>
      <c r="G470" s="436">
        <f t="shared" si="4"/>
        <v>2.218</v>
      </c>
    </row>
    <row r="471" spans="1:7" ht="38.25">
      <c r="A471" s="173" t="s">
        <v>557</v>
      </c>
      <c r="B471" s="174" t="s">
        <v>558</v>
      </c>
      <c r="C471" s="175" t="s">
        <v>72</v>
      </c>
      <c r="D471" s="175" t="s">
        <v>82</v>
      </c>
      <c r="E471" s="434">
        <v>3.8</v>
      </c>
      <c r="F471" s="435">
        <v>73.13</v>
      </c>
      <c r="G471" s="436">
        <f t="shared" si="4"/>
        <v>277.89399999999995</v>
      </c>
    </row>
    <row r="472" spans="1:7" ht="38.25">
      <c r="A472" s="173" t="s">
        <v>559</v>
      </c>
      <c r="B472" s="174" t="s">
        <v>560</v>
      </c>
      <c r="C472" s="175" t="s">
        <v>72</v>
      </c>
      <c r="D472" s="175" t="s">
        <v>82</v>
      </c>
      <c r="E472" s="434">
        <v>1.5</v>
      </c>
      <c r="F472" s="435">
        <v>18.75</v>
      </c>
      <c r="G472" s="436">
        <f t="shared" si="4"/>
        <v>28.125</v>
      </c>
    </row>
    <row r="473" spans="1:7" ht="12.75">
      <c r="A473" s="173" t="s">
        <v>561</v>
      </c>
      <c r="B473" s="174" t="s">
        <v>562</v>
      </c>
      <c r="C473" s="175" t="s">
        <v>72</v>
      </c>
      <c r="D473" s="175" t="s">
        <v>82</v>
      </c>
      <c r="E473" s="434">
        <v>1.5</v>
      </c>
      <c r="F473" s="435">
        <v>7.98</v>
      </c>
      <c r="G473" s="436">
        <f t="shared" si="4"/>
        <v>11.97</v>
      </c>
    </row>
    <row r="474" spans="1:7" ht="25.5">
      <c r="A474" s="173" t="s">
        <v>539</v>
      </c>
      <c r="B474" s="174" t="s">
        <v>540</v>
      </c>
      <c r="C474" s="175" t="s">
        <v>72</v>
      </c>
      <c r="D474" s="175" t="s">
        <v>77</v>
      </c>
      <c r="E474" s="434">
        <v>1</v>
      </c>
      <c r="F474" s="435">
        <v>12.85</v>
      </c>
      <c r="G474" s="436">
        <f t="shared" si="4"/>
        <v>12.85</v>
      </c>
    </row>
    <row r="475" spans="1:7" ht="25.5">
      <c r="A475" s="173" t="s">
        <v>454</v>
      </c>
      <c r="B475" s="174" t="s">
        <v>455</v>
      </c>
      <c r="C475" s="175" t="s">
        <v>72</v>
      </c>
      <c r="D475" s="175" t="s">
        <v>77</v>
      </c>
      <c r="E475" s="434">
        <v>1</v>
      </c>
      <c r="F475" s="435">
        <v>14.95</v>
      </c>
      <c r="G475" s="436">
        <f t="shared" si="4"/>
        <v>14.95</v>
      </c>
    </row>
    <row r="476" spans="1:7" ht="25.5">
      <c r="A476" s="173" t="s">
        <v>563</v>
      </c>
      <c r="B476" s="174" t="s">
        <v>564</v>
      </c>
      <c r="C476" s="175" t="s">
        <v>72</v>
      </c>
      <c r="D476" s="175" t="s">
        <v>77</v>
      </c>
      <c r="E476" s="434">
        <v>1</v>
      </c>
      <c r="F476" s="435">
        <v>14.57</v>
      </c>
      <c r="G476" s="436">
        <f t="shared" si="4"/>
        <v>14.57</v>
      </c>
    </row>
    <row r="477" spans="1:7" ht="114.75">
      <c r="A477" s="173" t="s">
        <v>565</v>
      </c>
      <c r="B477" s="174" t="s">
        <v>566</v>
      </c>
      <c r="C477" s="175" t="s">
        <v>72</v>
      </c>
      <c r="D477" s="175" t="s">
        <v>75</v>
      </c>
      <c r="E477" s="434">
        <v>1</v>
      </c>
      <c r="F477" s="435">
        <v>689</v>
      </c>
      <c r="G477" s="436">
        <f t="shared" si="4"/>
        <v>689</v>
      </c>
    </row>
    <row r="478" spans="1:7" ht="12.75">
      <c r="A478" s="783" t="s">
        <v>439</v>
      </c>
      <c r="B478" s="784"/>
      <c r="C478" s="784"/>
      <c r="D478" s="784"/>
      <c r="E478" s="784"/>
      <c r="F478" s="784"/>
      <c r="G478" s="440">
        <f>SUM(G474:G476)</f>
        <v>42.37</v>
      </c>
    </row>
    <row r="479" spans="1:7" ht="12.75">
      <c r="A479" s="783" t="s">
        <v>440</v>
      </c>
      <c r="B479" s="784"/>
      <c r="C479" s="784"/>
      <c r="D479" s="784"/>
      <c r="E479" s="784"/>
      <c r="F479" s="784"/>
      <c r="G479" s="440">
        <f>SUM(G466:G473)+G477</f>
        <v>1236.3701999999998</v>
      </c>
    </row>
    <row r="480" spans="1:7" ht="12.75">
      <c r="A480" s="783" t="s">
        <v>441</v>
      </c>
      <c r="B480" s="784"/>
      <c r="C480" s="784"/>
      <c r="D480" s="784"/>
      <c r="E480" s="784"/>
      <c r="F480" s="784"/>
      <c r="G480" s="440">
        <f>SUM(G478:G479)</f>
        <v>1278.7401999999997</v>
      </c>
    </row>
    <row r="481" spans="1:7" ht="12.75">
      <c r="A481" s="783" t="s">
        <v>442</v>
      </c>
      <c r="B481" s="784"/>
      <c r="C481" s="784"/>
      <c r="D481" s="784"/>
      <c r="E481" s="784"/>
      <c r="F481" s="784"/>
      <c r="G481" s="440">
        <f>G478*85.16%</f>
        <v>36.082291999999995</v>
      </c>
    </row>
    <row r="482" spans="1:7" ht="12.75">
      <c r="A482" s="783" t="s">
        <v>443</v>
      </c>
      <c r="B482" s="784"/>
      <c r="C482" s="784"/>
      <c r="D482" s="784"/>
      <c r="E482" s="784"/>
      <c r="F482" s="784"/>
      <c r="G482" s="440">
        <f>G481</f>
        <v>36.082291999999995</v>
      </c>
    </row>
    <row r="483" spans="1:7" ht="12.75">
      <c r="A483" s="785" t="s">
        <v>444</v>
      </c>
      <c r="B483" s="786"/>
      <c r="C483" s="786"/>
      <c r="D483" s="786"/>
      <c r="E483" s="786"/>
      <c r="F483" s="787"/>
      <c r="G483" s="440">
        <f>G479</f>
        <v>1236.3701999999998</v>
      </c>
    </row>
    <row r="484" spans="1:7" ht="12.75">
      <c r="A484" s="785" t="s">
        <v>445</v>
      </c>
      <c r="B484" s="786"/>
      <c r="C484" s="786"/>
      <c r="D484" s="786"/>
      <c r="E484" s="786"/>
      <c r="F484" s="787"/>
      <c r="G484" s="440">
        <f>G478+G482</f>
        <v>78.452292</v>
      </c>
    </row>
    <row r="485" spans="1:7" ht="12.75">
      <c r="A485" s="785" t="s">
        <v>446</v>
      </c>
      <c r="B485" s="786"/>
      <c r="C485" s="786"/>
      <c r="D485" s="786"/>
      <c r="E485" s="786"/>
      <c r="F485" s="787"/>
      <c r="G485" s="440">
        <f>SUM(G483:G484)</f>
        <v>1314.8224919999998</v>
      </c>
    </row>
    <row r="486" spans="1:7" ht="12.75">
      <c r="A486" s="796"/>
      <c r="B486" s="797"/>
      <c r="C486" s="797"/>
      <c r="D486" s="797"/>
      <c r="E486" s="797"/>
      <c r="F486" s="797"/>
      <c r="G486" s="798"/>
    </row>
    <row r="487" spans="1:7" ht="12.75">
      <c r="A487" s="491" t="s">
        <v>83</v>
      </c>
      <c r="B487" s="799" t="s">
        <v>1266</v>
      </c>
      <c r="C487" s="799"/>
      <c r="D487" s="799"/>
      <c r="E487" s="799"/>
      <c r="F487" s="799"/>
      <c r="G487" s="800"/>
    </row>
    <row r="488" spans="1:7" ht="12.75">
      <c r="A488" s="804"/>
      <c r="B488" s="805"/>
      <c r="C488" s="805"/>
      <c r="D488" s="805"/>
      <c r="E488" s="805"/>
      <c r="F488" s="805"/>
      <c r="G488" s="806"/>
    </row>
    <row r="489" spans="1:7" ht="12.75">
      <c r="A489" s="704" t="s">
        <v>1668</v>
      </c>
      <c r="B489" s="595"/>
      <c r="C489" s="595"/>
      <c r="D489" s="595"/>
      <c r="E489" s="595"/>
      <c r="F489" s="595"/>
      <c r="G489" s="596"/>
    </row>
    <row r="490" spans="1:7" ht="102">
      <c r="A490" s="499" t="s">
        <v>568</v>
      </c>
      <c r="B490" s="182" t="s">
        <v>567</v>
      </c>
      <c r="C490" s="172" t="s">
        <v>72</v>
      </c>
      <c r="D490" s="172" t="s">
        <v>75</v>
      </c>
      <c r="E490" s="373"/>
      <c r="F490" s="374"/>
      <c r="G490" s="375"/>
    </row>
    <row r="491" spans="1:7" ht="38.25">
      <c r="A491" s="173" t="s">
        <v>557</v>
      </c>
      <c r="B491" s="174" t="s">
        <v>558</v>
      </c>
      <c r="C491" s="175" t="s">
        <v>72</v>
      </c>
      <c r="D491" s="175" t="s">
        <v>82</v>
      </c>
      <c r="E491" s="434">
        <v>3.4</v>
      </c>
      <c r="F491" s="435">
        <v>73.13</v>
      </c>
      <c r="G491" s="436">
        <f>E491*F491</f>
        <v>248.64199999999997</v>
      </c>
    </row>
    <row r="492" spans="1:7" ht="38.25">
      <c r="A492" s="173" t="s">
        <v>559</v>
      </c>
      <c r="B492" s="174" t="s">
        <v>560</v>
      </c>
      <c r="C492" s="175" t="s">
        <v>72</v>
      </c>
      <c r="D492" s="175" t="s">
        <v>82</v>
      </c>
      <c r="E492" s="434">
        <v>1.5</v>
      </c>
      <c r="F492" s="435">
        <v>18.75</v>
      </c>
      <c r="G492" s="436">
        <f>E492*F492</f>
        <v>28.125</v>
      </c>
    </row>
    <row r="493" spans="1:7" ht="12.75">
      <c r="A493" s="173" t="s">
        <v>561</v>
      </c>
      <c r="B493" s="174" t="s">
        <v>562</v>
      </c>
      <c r="C493" s="175" t="s">
        <v>72</v>
      </c>
      <c r="D493" s="175" t="s">
        <v>82</v>
      </c>
      <c r="E493" s="434">
        <v>1.5</v>
      </c>
      <c r="F493" s="435">
        <v>7.98</v>
      </c>
      <c r="G493" s="436">
        <f>E493*F493</f>
        <v>11.97</v>
      </c>
    </row>
    <row r="494" spans="1:7" ht="114.75">
      <c r="A494" s="173" t="s">
        <v>568</v>
      </c>
      <c r="B494" s="174" t="s">
        <v>569</v>
      </c>
      <c r="C494" s="175" t="s">
        <v>72</v>
      </c>
      <c r="D494" s="175" t="s">
        <v>75</v>
      </c>
      <c r="E494" s="434">
        <v>1</v>
      </c>
      <c r="F494" s="435">
        <v>664.91</v>
      </c>
      <c r="G494" s="436">
        <f>E494*F494</f>
        <v>664.91</v>
      </c>
    </row>
    <row r="495" spans="1:7" ht="12.75">
      <c r="A495" s="783" t="s">
        <v>439</v>
      </c>
      <c r="B495" s="784"/>
      <c r="C495" s="784"/>
      <c r="D495" s="784"/>
      <c r="E495" s="784"/>
      <c r="F495" s="784"/>
      <c r="G495" s="440">
        <v>32.87</v>
      </c>
    </row>
    <row r="496" spans="1:7" ht="12.75">
      <c r="A496" s="783" t="s">
        <v>440</v>
      </c>
      <c r="B496" s="784"/>
      <c r="C496" s="784"/>
      <c r="D496" s="784"/>
      <c r="E496" s="784"/>
      <c r="F496" s="784"/>
      <c r="G496" s="440">
        <f>SUM(G491:G494)-G495</f>
        <v>920.7769999999999</v>
      </c>
    </row>
    <row r="497" spans="1:7" ht="12.75">
      <c r="A497" s="783" t="s">
        <v>441</v>
      </c>
      <c r="B497" s="784"/>
      <c r="C497" s="784"/>
      <c r="D497" s="784"/>
      <c r="E497" s="784"/>
      <c r="F497" s="784"/>
      <c r="G497" s="440">
        <f>SUM(G495:G496)</f>
        <v>953.6469999999999</v>
      </c>
    </row>
    <row r="498" spans="1:7" ht="12.75">
      <c r="A498" s="783" t="s">
        <v>442</v>
      </c>
      <c r="B498" s="784"/>
      <c r="C498" s="784"/>
      <c r="D498" s="784"/>
      <c r="E498" s="784"/>
      <c r="F498" s="784"/>
      <c r="G498" s="440">
        <f>G495*85.16%</f>
        <v>27.992091999999996</v>
      </c>
    </row>
    <row r="499" spans="1:7" ht="12.75">
      <c r="A499" s="783" t="s">
        <v>443</v>
      </c>
      <c r="B499" s="784"/>
      <c r="C499" s="784"/>
      <c r="D499" s="784"/>
      <c r="E499" s="784"/>
      <c r="F499" s="784"/>
      <c r="G499" s="440">
        <f>G498</f>
        <v>27.992091999999996</v>
      </c>
    </row>
    <row r="500" spans="1:7" ht="12.75">
      <c r="A500" s="785" t="s">
        <v>444</v>
      </c>
      <c r="B500" s="786"/>
      <c r="C500" s="786"/>
      <c r="D500" s="786"/>
      <c r="E500" s="786"/>
      <c r="F500" s="787"/>
      <c r="G500" s="440">
        <f>G496</f>
        <v>920.7769999999999</v>
      </c>
    </row>
    <row r="501" spans="1:7" ht="12.75">
      <c r="A501" s="785" t="s">
        <v>445</v>
      </c>
      <c r="B501" s="786"/>
      <c r="C501" s="786"/>
      <c r="D501" s="786"/>
      <c r="E501" s="786"/>
      <c r="F501" s="787"/>
      <c r="G501" s="440">
        <f>G495+G499</f>
        <v>60.86209199999999</v>
      </c>
    </row>
    <row r="502" spans="1:7" ht="12.75">
      <c r="A502" s="785" t="s">
        <v>446</v>
      </c>
      <c r="B502" s="786"/>
      <c r="C502" s="786"/>
      <c r="D502" s="786"/>
      <c r="E502" s="786"/>
      <c r="F502" s="787"/>
      <c r="G502" s="440">
        <f>SUM(G500:G501)</f>
        <v>981.6390919999999</v>
      </c>
    </row>
    <row r="503" spans="1:7" ht="12.75">
      <c r="A503" s="184"/>
      <c r="B503" s="185"/>
      <c r="C503" s="185"/>
      <c r="D503" s="185"/>
      <c r="E503" s="441"/>
      <c r="F503" s="442"/>
      <c r="G503" s="376"/>
    </row>
    <row r="504" spans="1:7" ht="12.75">
      <c r="A504" s="491" t="s">
        <v>83</v>
      </c>
      <c r="B504" s="799" t="s">
        <v>570</v>
      </c>
      <c r="C504" s="799"/>
      <c r="D504" s="799"/>
      <c r="E504" s="799"/>
      <c r="F504" s="799"/>
      <c r="G504" s="800"/>
    </row>
    <row r="505" spans="1:7" ht="12.75">
      <c r="A505" s="491"/>
      <c r="B505" s="589"/>
      <c r="C505" s="589"/>
      <c r="D505" s="589"/>
      <c r="E505" s="589"/>
      <c r="F505" s="589"/>
      <c r="G505" s="590"/>
    </row>
    <row r="506" spans="1:7" ht="12.75">
      <c r="A506" s="707" t="s">
        <v>1669</v>
      </c>
      <c r="B506" s="589"/>
      <c r="C506" s="589"/>
      <c r="D506" s="589"/>
      <c r="E506" s="589"/>
      <c r="F506" s="589"/>
      <c r="G506" s="590"/>
    </row>
    <row r="507" spans="1:7" ht="89.25">
      <c r="A507" s="499" t="s">
        <v>1132</v>
      </c>
      <c r="B507" s="182" t="s">
        <v>1127</v>
      </c>
      <c r="C507" s="172" t="s">
        <v>72</v>
      </c>
      <c r="D507" s="172" t="s">
        <v>75</v>
      </c>
      <c r="E507" s="373"/>
      <c r="F507" s="374"/>
      <c r="G507" s="375"/>
    </row>
    <row r="508" spans="1:7" ht="38.25">
      <c r="A508" s="173" t="s">
        <v>557</v>
      </c>
      <c r="B508" s="174" t="s">
        <v>558</v>
      </c>
      <c r="C508" s="175" t="s">
        <v>72</v>
      </c>
      <c r="D508" s="175" t="s">
        <v>82</v>
      </c>
      <c r="E508" s="434">
        <v>2.88</v>
      </c>
      <c r="F508" s="435">
        <v>73.13</v>
      </c>
      <c r="G508" s="436">
        <f>E508*F508</f>
        <v>210.6144</v>
      </c>
    </row>
    <row r="509" spans="1:7" ht="51">
      <c r="A509" s="173" t="s">
        <v>1128</v>
      </c>
      <c r="B509" s="174" t="s">
        <v>1129</v>
      </c>
      <c r="C509" s="175" t="s">
        <v>72</v>
      </c>
      <c r="D509" s="175" t="s">
        <v>74</v>
      </c>
      <c r="E509" s="434">
        <v>1</v>
      </c>
      <c r="F509" s="435">
        <v>31.64</v>
      </c>
      <c r="G509" s="436">
        <f>E509*F509</f>
        <v>31.64</v>
      </c>
    </row>
    <row r="510" spans="1:7" ht="25.5">
      <c r="A510" s="173" t="s">
        <v>1130</v>
      </c>
      <c r="B510" s="174" t="s">
        <v>1131</v>
      </c>
      <c r="C510" s="175" t="s">
        <v>72</v>
      </c>
      <c r="D510" s="175" t="s">
        <v>75</v>
      </c>
      <c r="E510" s="434">
        <v>1</v>
      </c>
      <c r="F510" s="435">
        <v>29.31</v>
      </c>
      <c r="G510" s="436">
        <f>E510*F510</f>
        <v>29.31</v>
      </c>
    </row>
    <row r="511" spans="1:7" ht="63.75">
      <c r="A511" s="173" t="s">
        <v>1132</v>
      </c>
      <c r="B511" s="174" t="s">
        <v>1133</v>
      </c>
      <c r="C511" s="175" t="s">
        <v>72</v>
      </c>
      <c r="D511" s="175" t="s">
        <v>75</v>
      </c>
      <c r="E511" s="434">
        <v>0.8</v>
      </c>
      <c r="F511" s="435">
        <v>301.22</v>
      </c>
      <c r="G511" s="436">
        <f>E511*F511</f>
        <v>240.97600000000003</v>
      </c>
    </row>
    <row r="512" spans="1:7" ht="12.75">
      <c r="A512" s="783" t="s">
        <v>439</v>
      </c>
      <c r="B512" s="784"/>
      <c r="C512" s="784"/>
      <c r="D512" s="784"/>
      <c r="E512" s="784"/>
      <c r="F512" s="784"/>
      <c r="G512" s="440">
        <v>58.78</v>
      </c>
    </row>
    <row r="513" spans="1:7" ht="12.75">
      <c r="A513" s="783" t="s">
        <v>440</v>
      </c>
      <c r="B513" s="784"/>
      <c r="C513" s="784"/>
      <c r="D513" s="784"/>
      <c r="E513" s="784"/>
      <c r="F513" s="784"/>
      <c r="G513" s="440">
        <f>SUM(G508:G511)-G512</f>
        <v>453.7604</v>
      </c>
    </row>
    <row r="514" spans="1:7" ht="12.75">
      <c r="A514" s="783" t="s">
        <v>441</v>
      </c>
      <c r="B514" s="784"/>
      <c r="C514" s="784"/>
      <c r="D514" s="784"/>
      <c r="E514" s="784"/>
      <c r="F514" s="784"/>
      <c r="G514" s="440">
        <f>SUM(G512:G513)</f>
        <v>512.5404</v>
      </c>
    </row>
    <row r="515" spans="1:7" ht="12.75">
      <c r="A515" s="783" t="s">
        <v>442</v>
      </c>
      <c r="B515" s="784"/>
      <c r="C515" s="784"/>
      <c r="D515" s="784"/>
      <c r="E515" s="784"/>
      <c r="F515" s="784"/>
      <c r="G515" s="440">
        <f>G512*85.16%</f>
        <v>50.057047999999995</v>
      </c>
    </row>
    <row r="516" spans="1:7" ht="12.75">
      <c r="A516" s="783" t="s">
        <v>443</v>
      </c>
      <c r="B516" s="784"/>
      <c r="C516" s="784"/>
      <c r="D516" s="784"/>
      <c r="E516" s="784"/>
      <c r="F516" s="784"/>
      <c r="G516" s="440">
        <f>G515</f>
        <v>50.057047999999995</v>
      </c>
    </row>
    <row r="517" spans="1:7" ht="12.75">
      <c r="A517" s="785" t="s">
        <v>444</v>
      </c>
      <c r="B517" s="786"/>
      <c r="C517" s="786"/>
      <c r="D517" s="786"/>
      <c r="E517" s="786"/>
      <c r="F517" s="787"/>
      <c r="G517" s="440">
        <f>G513</f>
        <v>453.7604</v>
      </c>
    </row>
    <row r="518" spans="1:7" ht="12.75">
      <c r="A518" s="785" t="s">
        <v>445</v>
      </c>
      <c r="B518" s="786"/>
      <c r="C518" s="786"/>
      <c r="D518" s="786"/>
      <c r="E518" s="786"/>
      <c r="F518" s="787"/>
      <c r="G518" s="440">
        <f>G512+G516</f>
        <v>108.837048</v>
      </c>
    </row>
    <row r="519" spans="1:7" ht="12.75">
      <c r="A519" s="785" t="s">
        <v>446</v>
      </c>
      <c r="B519" s="786"/>
      <c r="C519" s="786"/>
      <c r="D519" s="786"/>
      <c r="E519" s="786"/>
      <c r="F519" s="787"/>
      <c r="G519" s="440">
        <f>SUM(G517:G518)</f>
        <v>562.597448</v>
      </c>
    </row>
    <row r="520" spans="1:7" ht="12.75">
      <c r="A520" s="184"/>
      <c r="B520" s="185"/>
      <c r="C520" s="185"/>
      <c r="D520" s="185"/>
      <c r="E520" s="441"/>
      <c r="F520" s="442"/>
      <c r="G520" s="376"/>
    </row>
    <row r="521" spans="1:7" ht="12.75">
      <c r="A521" s="491" t="s">
        <v>83</v>
      </c>
      <c r="B521" s="799" t="s">
        <v>570</v>
      </c>
      <c r="C521" s="799"/>
      <c r="D521" s="799"/>
      <c r="E521" s="799"/>
      <c r="F521" s="799"/>
      <c r="G521" s="800"/>
    </row>
    <row r="522" spans="1:7" ht="12.75">
      <c r="A522" s="804"/>
      <c r="B522" s="805"/>
      <c r="C522" s="805"/>
      <c r="D522" s="805"/>
      <c r="E522" s="805"/>
      <c r="F522" s="805"/>
      <c r="G522" s="806"/>
    </row>
    <row r="523" spans="1:7" ht="12.75">
      <c r="A523" s="176" t="s">
        <v>1670</v>
      </c>
      <c r="B523" s="789"/>
      <c r="C523" s="789"/>
      <c r="D523" s="789"/>
      <c r="E523" s="789"/>
      <c r="F523" s="789"/>
      <c r="G523" s="790"/>
    </row>
    <row r="524" spans="1:7" ht="5.25" customHeight="1">
      <c r="A524" s="804" t="s">
        <v>1823</v>
      </c>
      <c r="B524" s="805"/>
      <c r="C524" s="805"/>
      <c r="D524" s="805"/>
      <c r="E524" s="805"/>
      <c r="F524" s="805"/>
      <c r="G524" s="806"/>
    </row>
    <row r="525" spans="1:7" ht="38.25">
      <c r="A525" s="171" t="s">
        <v>541</v>
      </c>
      <c r="B525" s="182" t="s">
        <v>542</v>
      </c>
      <c r="C525" s="172" t="s">
        <v>72</v>
      </c>
      <c r="D525" s="172" t="s">
        <v>82</v>
      </c>
      <c r="E525" s="373"/>
      <c r="F525" s="374"/>
      <c r="G525" s="375"/>
    </row>
    <row r="526" spans="1:7" ht="38.25">
      <c r="A526" s="173" t="s">
        <v>543</v>
      </c>
      <c r="B526" s="174" t="s">
        <v>544</v>
      </c>
      <c r="C526" s="175" t="s">
        <v>73</v>
      </c>
      <c r="D526" s="175" t="s">
        <v>82</v>
      </c>
      <c r="E526" s="434">
        <v>1.0001</v>
      </c>
      <c r="F526" s="435">
        <v>368.22</v>
      </c>
      <c r="G526" s="436">
        <f>E526*F526</f>
        <v>368.256822</v>
      </c>
    </row>
    <row r="527" spans="1:7" ht="25.5">
      <c r="A527" s="173" t="s">
        <v>449</v>
      </c>
      <c r="B527" s="174" t="s">
        <v>450</v>
      </c>
      <c r="C527" s="175" t="s">
        <v>72</v>
      </c>
      <c r="D527" s="175" t="s">
        <v>77</v>
      </c>
      <c r="E527" s="434">
        <v>3.397</v>
      </c>
      <c r="F527" s="435">
        <v>15.14</v>
      </c>
      <c r="G527" s="436">
        <f>E527*F527</f>
        <v>51.43058</v>
      </c>
    </row>
    <row r="528" spans="1:7" ht="25.5">
      <c r="A528" s="173" t="s">
        <v>437</v>
      </c>
      <c r="B528" s="174" t="s">
        <v>438</v>
      </c>
      <c r="C528" s="175" t="s">
        <v>72</v>
      </c>
      <c r="D528" s="175" t="s">
        <v>77</v>
      </c>
      <c r="E528" s="434">
        <v>1.699</v>
      </c>
      <c r="F528" s="435">
        <v>12.64</v>
      </c>
      <c r="G528" s="436">
        <f>E528*F528</f>
        <v>21.475360000000002</v>
      </c>
    </row>
    <row r="529" spans="1:7" ht="38.25">
      <c r="A529" s="173" t="s">
        <v>545</v>
      </c>
      <c r="B529" s="174" t="s">
        <v>546</v>
      </c>
      <c r="C529" s="175" t="s">
        <v>72</v>
      </c>
      <c r="D529" s="175" t="s">
        <v>477</v>
      </c>
      <c r="E529" s="434">
        <v>0.021</v>
      </c>
      <c r="F529" s="435">
        <v>381.28</v>
      </c>
      <c r="G529" s="436">
        <f>E529*F529</f>
        <v>8.00688</v>
      </c>
    </row>
    <row r="530" spans="1:7" ht="12.75">
      <c r="A530" s="783" t="s">
        <v>439</v>
      </c>
      <c r="B530" s="784"/>
      <c r="C530" s="784"/>
      <c r="D530" s="784"/>
      <c r="E530" s="784"/>
      <c r="F530" s="784"/>
      <c r="G530" s="440">
        <f>SUM(G527:G528)</f>
        <v>72.90594</v>
      </c>
    </row>
    <row r="531" spans="1:7" ht="12.75">
      <c r="A531" s="783" t="s">
        <v>440</v>
      </c>
      <c r="B531" s="784"/>
      <c r="C531" s="784"/>
      <c r="D531" s="784"/>
      <c r="E531" s="784"/>
      <c r="F531" s="784"/>
      <c r="G531" s="440">
        <f>G526+G529</f>
        <v>376.263702</v>
      </c>
    </row>
    <row r="532" spans="1:7" ht="12.75">
      <c r="A532" s="783" t="s">
        <v>441</v>
      </c>
      <c r="B532" s="784"/>
      <c r="C532" s="784"/>
      <c r="D532" s="784"/>
      <c r="E532" s="784"/>
      <c r="F532" s="784"/>
      <c r="G532" s="440">
        <f>SUM(G530:G531)</f>
        <v>449.169642</v>
      </c>
    </row>
    <row r="533" spans="1:7" ht="12.75">
      <c r="A533" s="783" t="s">
        <v>442</v>
      </c>
      <c r="B533" s="784"/>
      <c r="C533" s="784"/>
      <c r="D533" s="784"/>
      <c r="E533" s="784"/>
      <c r="F533" s="784"/>
      <c r="G533" s="440">
        <f>G530*85.16%</f>
        <v>62.086698504</v>
      </c>
    </row>
    <row r="534" spans="1:7" ht="12.75">
      <c r="A534" s="783" t="s">
        <v>443</v>
      </c>
      <c r="B534" s="784"/>
      <c r="C534" s="784"/>
      <c r="D534" s="784"/>
      <c r="E534" s="784"/>
      <c r="F534" s="784"/>
      <c r="G534" s="440">
        <f>G533</f>
        <v>62.086698504</v>
      </c>
    </row>
    <row r="535" spans="1:7" ht="12.75">
      <c r="A535" s="785" t="s">
        <v>444</v>
      </c>
      <c r="B535" s="786"/>
      <c r="C535" s="786"/>
      <c r="D535" s="786"/>
      <c r="E535" s="786"/>
      <c r="F535" s="787"/>
      <c r="G535" s="440">
        <f>G531</f>
        <v>376.263702</v>
      </c>
    </row>
    <row r="536" spans="1:7" ht="12.75">
      <c r="A536" s="785" t="s">
        <v>445</v>
      </c>
      <c r="B536" s="786"/>
      <c r="C536" s="786"/>
      <c r="D536" s="786"/>
      <c r="E536" s="786"/>
      <c r="F536" s="787"/>
      <c r="G536" s="440">
        <f>G530+G534</f>
        <v>134.992638504</v>
      </c>
    </row>
    <row r="537" spans="1:7" ht="12.75">
      <c r="A537" s="785" t="s">
        <v>446</v>
      </c>
      <c r="B537" s="786"/>
      <c r="C537" s="786"/>
      <c r="D537" s="786"/>
      <c r="E537" s="786"/>
      <c r="F537" s="787"/>
      <c r="G537" s="440">
        <f>SUM(G535:G536)</f>
        <v>511.25634050400004</v>
      </c>
    </row>
    <row r="538" spans="1:7" ht="12.75">
      <c r="A538" s="796"/>
      <c r="B538" s="797"/>
      <c r="C538" s="797"/>
      <c r="D538" s="797"/>
      <c r="E538" s="797"/>
      <c r="F538" s="797"/>
      <c r="G538" s="798"/>
    </row>
    <row r="539" spans="1:7" ht="12.75">
      <c r="A539" s="178" t="s">
        <v>1559</v>
      </c>
      <c r="B539" s="802" t="s">
        <v>1560</v>
      </c>
      <c r="C539" s="802"/>
      <c r="D539" s="802"/>
      <c r="E539" s="452"/>
      <c r="F539" s="452"/>
      <c r="G539" s="453"/>
    </row>
    <row r="540" spans="1:7" ht="12.75">
      <c r="A540" s="178" t="s">
        <v>1738</v>
      </c>
      <c r="B540" s="179" t="s">
        <v>1739</v>
      </c>
      <c r="C540" s="179"/>
      <c r="D540" s="179"/>
      <c r="E540" s="452"/>
      <c r="F540" s="452"/>
      <c r="G540" s="453"/>
    </row>
    <row r="541" spans="1:7" ht="12.75">
      <c r="A541" s="178" t="s">
        <v>1746</v>
      </c>
      <c r="B541" s="179"/>
      <c r="C541" s="179"/>
      <c r="D541" s="179"/>
      <c r="E541" s="452"/>
      <c r="F541" s="452"/>
      <c r="G541" s="453"/>
    </row>
    <row r="542" spans="1:7" ht="38.25">
      <c r="A542" s="499" t="s">
        <v>1297</v>
      </c>
      <c r="B542" s="182" t="s">
        <v>149</v>
      </c>
      <c r="C542" s="172" t="s">
        <v>72</v>
      </c>
      <c r="D542" s="172" t="s">
        <v>75</v>
      </c>
      <c r="E542" s="373"/>
      <c r="F542" s="374"/>
      <c r="G542" s="375"/>
    </row>
    <row r="543" spans="1:7" ht="51">
      <c r="A543" s="173" t="s">
        <v>537</v>
      </c>
      <c r="B543" s="174" t="s">
        <v>538</v>
      </c>
      <c r="C543" s="175" t="s">
        <v>73</v>
      </c>
      <c r="D543" s="175" t="s">
        <v>75</v>
      </c>
      <c r="E543" s="434">
        <v>6</v>
      </c>
      <c r="F543" s="435">
        <v>0.31</v>
      </c>
      <c r="G543" s="436">
        <f>E543*F543</f>
        <v>1.8599999999999999</v>
      </c>
    </row>
    <row r="544" spans="1:7" ht="25.5">
      <c r="A544" s="173" t="s">
        <v>1295</v>
      </c>
      <c r="B544" s="252" t="s">
        <v>1120</v>
      </c>
      <c r="C544" s="175" t="s">
        <v>73</v>
      </c>
      <c r="D544" s="175" t="s">
        <v>75</v>
      </c>
      <c r="E544" s="434">
        <v>1</v>
      </c>
      <c r="F544" s="435">
        <v>274.57</v>
      </c>
      <c r="G544" s="436">
        <f>E544*F544</f>
        <v>274.57</v>
      </c>
    </row>
    <row r="545" spans="1:7" ht="25.5">
      <c r="A545" s="173" t="s">
        <v>449</v>
      </c>
      <c r="B545" s="174" t="s">
        <v>450</v>
      </c>
      <c r="C545" s="175" t="s">
        <v>72</v>
      </c>
      <c r="D545" s="175" t="s">
        <v>77</v>
      </c>
      <c r="E545" s="434">
        <v>1</v>
      </c>
      <c r="F545" s="435">
        <v>15.14</v>
      </c>
      <c r="G545" s="436">
        <f>E545*F545</f>
        <v>15.14</v>
      </c>
    </row>
    <row r="546" spans="1:7" ht="25.5">
      <c r="A546" s="173" t="s">
        <v>437</v>
      </c>
      <c r="B546" s="174" t="s">
        <v>438</v>
      </c>
      <c r="C546" s="175" t="s">
        <v>72</v>
      </c>
      <c r="D546" s="175" t="s">
        <v>77</v>
      </c>
      <c r="E546" s="434">
        <v>1</v>
      </c>
      <c r="F546" s="435">
        <v>12.64</v>
      </c>
      <c r="G546" s="436">
        <f>E546*F546</f>
        <v>12.64</v>
      </c>
    </row>
    <row r="547" spans="1:7" ht="12.75">
      <c r="A547" s="783" t="s">
        <v>439</v>
      </c>
      <c r="B547" s="784"/>
      <c r="C547" s="784"/>
      <c r="D547" s="784"/>
      <c r="E547" s="784"/>
      <c r="F547" s="784"/>
      <c r="G547" s="440">
        <f>SUM(G545:G546)</f>
        <v>27.78</v>
      </c>
    </row>
    <row r="548" spans="1:7" ht="12.75">
      <c r="A548" s="783" t="s">
        <v>440</v>
      </c>
      <c r="B548" s="784"/>
      <c r="C548" s="784"/>
      <c r="D548" s="784"/>
      <c r="E548" s="784"/>
      <c r="F548" s="784"/>
      <c r="G548" s="440">
        <f>SUM(G543:G544)</f>
        <v>276.43</v>
      </c>
    </row>
    <row r="549" spans="1:7" ht="12.75">
      <c r="A549" s="783" t="s">
        <v>441</v>
      </c>
      <c r="B549" s="784"/>
      <c r="C549" s="784"/>
      <c r="D549" s="784"/>
      <c r="E549" s="784"/>
      <c r="F549" s="784"/>
      <c r="G549" s="440">
        <f>SUM(G547:G548)</f>
        <v>304.21000000000004</v>
      </c>
    </row>
    <row r="550" spans="1:7" ht="12.75">
      <c r="A550" s="783" t="s">
        <v>442</v>
      </c>
      <c r="B550" s="784"/>
      <c r="C550" s="784"/>
      <c r="D550" s="784"/>
      <c r="E550" s="784"/>
      <c r="F550" s="784"/>
      <c r="G550" s="440">
        <f>G547*85.16%</f>
        <v>23.657448</v>
      </c>
    </row>
    <row r="551" spans="1:7" ht="12.75">
      <c r="A551" s="783" t="s">
        <v>443</v>
      </c>
      <c r="B551" s="784"/>
      <c r="C551" s="784"/>
      <c r="D551" s="784"/>
      <c r="E551" s="784"/>
      <c r="F551" s="784"/>
      <c r="G551" s="440">
        <f>G550</f>
        <v>23.657448</v>
      </c>
    </row>
    <row r="552" spans="1:7" ht="12.75">
      <c r="A552" s="785" t="s">
        <v>444</v>
      </c>
      <c r="B552" s="786"/>
      <c r="C552" s="786"/>
      <c r="D552" s="786"/>
      <c r="E552" s="786"/>
      <c r="F552" s="787"/>
      <c r="G552" s="440">
        <f>G548</f>
        <v>276.43</v>
      </c>
    </row>
    <row r="553" spans="1:7" ht="12.75">
      <c r="A553" s="785" t="s">
        <v>445</v>
      </c>
      <c r="B553" s="786"/>
      <c r="C553" s="786"/>
      <c r="D553" s="786"/>
      <c r="E553" s="786"/>
      <c r="F553" s="787"/>
      <c r="G553" s="440">
        <f>G547+G551</f>
        <v>51.437448</v>
      </c>
    </row>
    <row r="554" spans="1:7" ht="12.75">
      <c r="A554" s="785" t="s">
        <v>446</v>
      </c>
      <c r="B554" s="786"/>
      <c r="C554" s="786"/>
      <c r="D554" s="786"/>
      <c r="E554" s="786"/>
      <c r="F554" s="787"/>
      <c r="G554" s="440">
        <f>SUM(G552:G553)</f>
        <v>327.867448</v>
      </c>
    </row>
    <row r="555" spans="1:7" ht="12.75">
      <c r="A555" s="796"/>
      <c r="B555" s="797"/>
      <c r="C555" s="797"/>
      <c r="D555" s="797"/>
      <c r="E555" s="797"/>
      <c r="F555" s="797"/>
      <c r="G555" s="798"/>
    </row>
    <row r="556" spans="1:7" ht="12.75">
      <c r="A556" s="491" t="s">
        <v>83</v>
      </c>
      <c r="B556" s="799" t="s">
        <v>1267</v>
      </c>
      <c r="C556" s="799"/>
      <c r="D556" s="799"/>
      <c r="E556" s="799"/>
      <c r="F556" s="799"/>
      <c r="G556" s="800"/>
    </row>
    <row r="557" spans="1:7" ht="12.75">
      <c r="A557" s="178"/>
      <c r="B557" s="179"/>
      <c r="C557" s="179"/>
      <c r="D557" s="179"/>
      <c r="E557" s="452"/>
      <c r="F557" s="452"/>
      <c r="G557" s="453"/>
    </row>
    <row r="558" spans="1:7" ht="12.75">
      <c r="A558" s="178" t="s">
        <v>1747</v>
      </c>
      <c r="B558" s="179"/>
      <c r="C558" s="179"/>
      <c r="D558" s="179"/>
      <c r="E558" s="452"/>
      <c r="F558" s="452"/>
      <c r="G558" s="453"/>
    </row>
    <row r="559" spans="1:7" ht="25.5">
      <c r="A559" s="499" t="s">
        <v>1036</v>
      </c>
      <c r="B559" s="182" t="s">
        <v>1035</v>
      </c>
      <c r="C559" s="172" t="s">
        <v>72</v>
      </c>
      <c r="D559" s="172" t="s">
        <v>75</v>
      </c>
      <c r="E559" s="373"/>
      <c r="F559" s="374"/>
      <c r="G559" s="375"/>
    </row>
    <row r="560" spans="1:7" ht="38.25">
      <c r="A560" s="173" t="s">
        <v>1036</v>
      </c>
      <c r="B560" s="174" t="s">
        <v>1037</v>
      </c>
      <c r="C560" s="175" t="s">
        <v>73</v>
      </c>
      <c r="D560" s="175" t="s">
        <v>75</v>
      </c>
      <c r="E560" s="434">
        <v>1</v>
      </c>
      <c r="F560" s="435">
        <v>126.61</v>
      </c>
      <c r="G560" s="436">
        <f>E560*F560</f>
        <v>126.61</v>
      </c>
    </row>
    <row r="561" spans="1:7" ht="25.5">
      <c r="A561" s="173" t="s">
        <v>1038</v>
      </c>
      <c r="B561" s="174" t="s">
        <v>1039</v>
      </c>
      <c r="C561" s="175" t="s">
        <v>72</v>
      </c>
      <c r="D561" s="175" t="s">
        <v>77</v>
      </c>
      <c r="E561" s="434">
        <v>0.3</v>
      </c>
      <c r="F561" s="435">
        <v>12.46</v>
      </c>
      <c r="G561" s="436">
        <f>E561*F561</f>
        <v>3.738</v>
      </c>
    </row>
    <row r="562" spans="1:7" ht="25.5">
      <c r="A562" s="173" t="s">
        <v>563</v>
      </c>
      <c r="B562" s="174" t="s">
        <v>564</v>
      </c>
      <c r="C562" s="175" t="s">
        <v>72</v>
      </c>
      <c r="D562" s="175" t="s">
        <v>77</v>
      </c>
      <c r="E562" s="434">
        <v>0.284</v>
      </c>
      <c r="F562" s="435">
        <v>14.57</v>
      </c>
      <c r="G562" s="436">
        <f>E562*F562</f>
        <v>4.13788</v>
      </c>
    </row>
    <row r="563" spans="1:7" ht="12.75">
      <c r="A563" s="783" t="s">
        <v>439</v>
      </c>
      <c r="B563" s="784"/>
      <c r="C563" s="784"/>
      <c r="D563" s="784"/>
      <c r="E563" s="784"/>
      <c r="F563" s="784"/>
      <c r="G563" s="440">
        <f>SUM(G561:G562)</f>
        <v>7.87588</v>
      </c>
    </row>
    <row r="564" spans="1:7" ht="12.75">
      <c r="A564" s="783" t="s">
        <v>440</v>
      </c>
      <c r="B564" s="784"/>
      <c r="C564" s="784"/>
      <c r="D564" s="784"/>
      <c r="E564" s="784"/>
      <c r="F564" s="784"/>
      <c r="G564" s="440">
        <f>SUM(G560)</f>
        <v>126.61</v>
      </c>
    </row>
    <row r="565" spans="1:7" ht="12.75">
      <c r="A565" s="783" t="s">
        <v>441</v>
      </c>
      <c r="B565" s="784"/>
      <c r="C565" s="784"/>
      <c r="D565" s="784"/>
      <c r="E565" s="784"/>
      <c r="F565" s="784"/>
      <c r="G565" s="440">
        <f>SUM(G563:G564)</f>
        <v>134.48588</v>
      </c>
    </row>
    <row r="566" spans="1:7" ht="12.75">
      <c r="A566" s="783" t="s">
        <v>442</v>
      </c>
      <c r="B566" s="784"/>
      <c r="C566" s="784"/>
      <c r="D566" s="784"/>
      <c r="E566" s="784"/>
      <c r="F566" s="784"/>
      <c r="G566" s="440">
        <f>G563*85.16%</f>
        <v>6.7070994079999995</v>
      </c>
    </row>
    <row r="567" spans="1:7" ht="12.75">
      <c r="A567" s="783" t="s">
        <v>443</v>
      </c>
      <c r="B567" s="784"/>
      <c r="C567" s="784"/>
      <c r="D567" s="784"/>
      <c r="E567" s="784"/>
      <c r="F567" s="784"/>
      <c r="G567" s="440">
        <f>G566</f>
        <v>6.7070994079999995</v>
      </c>
    </row>
    <row r="568" spans="1:7" ht="12.75">
      <c r="A568" s="785" t="s">
        <v>444</v>
      </c>
      <c r="B568" s="786"/>
      <c r="C568" s="786"/>
      <c r="D568" s="786"/>
      <c r="E568" s="786"/>
      <c r="F568" s="787"/>
      <c r="G568" s="440">
        <f>G564</f>
        <v>126.61</v>
      </c>
    </row>
    <row r="569" spans="1:7" ht="12.75">
      <c r="A569" s="785" t="s">
        <v>445</v>
      </c>
      <c r="B569" s="786"/>
      <c r="C569" s="786"/>
      <c r="D569" s="786"/>
      <c r="E569" s="786"/>
      <c r="F569" s="787"/>
      <c r="G569" s="440">
        <f>G563+G567</f>
        <v>14.582979408</v>
      </c>
    </row>
    <row r="570" spans="1:7" ht="12.75">
      <c r="A570" s="785" t="s">
        <v>446</v>
      </c>
      <c r="B570" s="786"/>
      <c r="C570" s="786"/>
      <c r="D570" s="786"/>
      <c r="E570" s="786"/>
      <c r="F570" s="787"/>
      <c r="G570" s="440">
        <f>SUM(G568:G569)</f>
        <v>141.19297940799999</v>
      </c>
    </row>
    <row r="571" spans="1:7" ht="12.75">
      <c r="A571" s="796"/>
      <c r="B571" s="797"/>
      <c r="C571" s="797"/>
      <c r="D571" s="797"/>
      <c r="E571" s="797"/>
      <c r="F571" s="797"/>
      <c r="G571" s="798"/>
    </row>
    <row r="572" spans="1:7" ht="12.75" customHeight="1">
      <c r="A572" s="491" t="s">
        <v>83</v>
      </c>
      <c r="B572" s="799" t="s">
        <v>451</v>
      </c>
      <c r="C572" s="799"/>
      <c r="D572" s="799"/>
      <c r="E572" s="799"/>
      <c r="F572" s="799"/>
      <c r="G572" s="800"/>
    </row>
    <row r="573" spans="1:7" ht="12.75">
      <c r="A573" s="178"/>
      <c r="B573" s="179"/>
      <c r="C573" s="179"/>
      <c r="D573" s="179"/>
      <c r="E573" s="452"/>
      <c r="F573" s="452"/>
      <c r="G573" s="453"/>
    </row>
    <row r="574" spans="1:7" ht="12.75">
      <c r="A574" s="178" t="s">
        <v>1748</v>
      </c>
      <c r="B574" s="179"/>
      <c r="C574" s="179"/>
      <c r="D574" s="179"/>
      <c r="E574" s="452"/>
      <c r="F574" s="452"/>
      <c r="G574" s="453"/>
    </row>
    <row r="575" spans="1:7" ht="25.5">
      <c r="A575" s="171" t="s">
        <v>1030</v>
      </c>
      <c r="B575" s="182" t="s">
        <v>1031</v>
      </c>
      <c r="C575" s="172" t="s">
        <v>72</v>
      </c>
      <c r="D575" s="172" t="s">
        <v>75</v>
      </c>
      <c r="E575" s="373"/>
      <c r="F575" s="374"/>
      <c r="G575" s="375"/>
    </row>
    <row r="576" spans="1:7" ht="51">
      <c r="A576" s="173" t="s">
        <v>537</v>
      </c>
      <c r="B576" s="174" t="s">
        <v>538</v>
      </c>
      <c r="C576" s="175" t="s">
        <v>73</v>
      </c>
      <c r="D576" s="175" t="s">
        <v>75</v>
      </c>
      <c r="E576" s="434">
        <v>8</v>
      </c>
      <c r="F576" s="435">
        <v>0.31</v>
      </c>
      <c r="G576" s="436">
        <f>E576*F576</f>
        <v>2.48</v>
      </c>
    </row>
    <row r="577" spans="1:7" ht="25.5">
      <c r="A577" s="173" t="s">
        <v>1032</v>
      </c>
      <c r="B577" s="174" t="s">
        <v>1033</v>
      </c>
      <c r="C577" s="175" t="s">
        <v>73</v>
      </c>
      <c r="D577" s="175" t="s">
        <v>75</v>
      </c>
      <c r="E577" s="434">
        <v>2</v>
      </c>
      <c r="F577" s="435">
        <v>141.19</v>
      </c>
      <c r="G577" s="436">
        <f>E577*F577</f>
        <v>282.38</v>
      </c>
    </row>
    <row r="578" spans="1:7" ht="25.5">
      <c r="A578" s="173" t="s">
        <v>1006</v>
      </c>
      <c r="B578" s="174" t="s">
        <v>1007</v>
      </c>
      <c r="C578" s="175" t="s">
        <v>72</v>
      </c>
      <c r="D578" s="175" t="s">
        <v>77</v>
      </c>
      <c r="E578" s="434">
        <v>1.5</v>
      </c>
      <c r="F578" s="435">
        <v>12.63</v>
      </c>
      <c r="G578" s="436">
        <f>E578*F578</f>
        <v>18.945</v>
      </c>
    </row>
    <row r="579" spans="1:7" ht="25.5">
      <c r="A579" s="173" t="s">
        <v>449</v>
      </c>
      <c r="B579" s="174" t="s">
        <v>450</v>
      </c>
      <c r="C579" s="175" t="s">
        <v>72</v>
      </c>
      <c r="D579" s="175" t="s">
        <v>77</v>
      </c>
      <c r="E579" s="434">
        <v>1.5</v>
      </c>
      <c r="F579" s="435">
        <v>15.14</v>
      </c>
      <c r="G579" s="436">
        <f>E579*F579</f>
        <v>22.71</v>
      </c>
    </row>
    <row r="580" spans="1:7" ht="12.75">
      <c r="A580" s="783" t="s">
        <v>439</v>
      </c>
      <c r="B580" s="784"/>
      <c r="C580" s="784"/>
      <c r="D580" s="784"/>
      <c r="E580" s="784"/>
      <c r="F580" s="784"/>
      <c r="G580" s="440">
        <f>SUM(G578:G579)</f>
        <v>41.655</v>
      </c>
    </row>
    <row r="581" spans="1:7" ht="12.75">
      <c r="A581" s="783" t="s">
        <v>440</v>
      </c>
      <c r="B581" s="784"/>
      <c r="C581" s="784"/>
      <c r="D581" s="784"/>
      <c r="E581" s="784"/>
      <c r="F581" s="784"/>
      <c r="G581" s="440">
        <f>SUM(G576:G577)</f>
        <v>284.86</v>
      </c>
    </row>
    <row r="582" spans="1:7" ht="12.75">
      <c r="A582" s="783" t="s">
        <v>441</v>
      </c>
      <c r="B582" s="784"/>
      <c r="C582" s="784"/>
      <c r="D582" s="784"/>
      <c r="E582" s="784"/>
      <c r="F582" s="784"/>
      <c r="G582" s="440">
        <f>SUM(G580:G581)</f>
        <v>326.515</v>
      </c>
    </row>
    <row r="583" spans="1:7" ht="12.75">
      <c r="A583" s="783" t="s">
        <v>442</v>
      </c>
      <c r="B583" s="784"/>
      <c r="C583" s="784"/>
      <c r="D583" s="784"/>
      <c r="E583" s="784"/>
      <c r="F583" s="784"/>
      <c r="G583" s="440">
        <f>G580*85.16%</f>
        <v>35.473397999999996</v>
      </c>
    </row>
    <row r="584" spans="1:7" ht="12.75">
      <c r="A584" s="783" t="s">
        <v>443</v>
      </c>
      <c r="B584" s="784"/>
      <c r="C584" s="784"/>
      <c r="D584" s="784"/>
      <c r="E584" s="784"/>
      <c r="F584" s="784"/>
      <c r="G584" s="440">
        <f>G583</f>
        <v>35.473397999999996</v>
      </c>
    </row>
    <row r="585" spans="1:7" ht="12.75">
      <c r="A585" s="785" t="s">
        <v>444</v>
      </c>
      <c r="B585" s="786"/>
      <c r="C585" s="786"/>
      <c r="D585" s="786"/>
      <c r="E585" s="786"/>
      <c r="F585" s="787"/>
      <c r="G585" s="440">
        <f>G581</f>
        <v>284.86</v>
      </c>
    </row>
    <row r="586" spans="1:7" ht="12.75">
      <c r="A586" s="785" t="s">
        <v>445</v>
      </c>
      <c r="B586" s="786"/>
      <c r="C586" s="786"/>
      <c r="D586" s="786"/>
      <c r="E586" s="786"/>
      <c r="F586" s="787"/>
      <c r="G586" s="440">
        <f>G580+G584</f>
        <v>77.128398</v>
      </c>
    </row>
    <row r="587" spans="1:7" ht="12.75">
      <c r="A587" s="785" t="s">
        <v>446</v>
      </c>
      <c r="B587" s="786"/>
      <c r="C587" s="786"/>
      <c r="D587" s="786"/>
      <c r="E587" s="786"/>
      <c r="F587" s="787"/>
      <c r="G587" s="440">
        <f>SUM(G585:G586)</f>
        <v>361.988398</v>
      </c>
    </row>
    <row r="588" spans="1:7" ht="12.75">
      <c r="A588" s="796"/>
      <c r="B588" s="797"/>
      <c r="C588" s="797"/>
      <c r="D588" s="797"/>
      <c r="E588" s="797"/>
      <c r="F588" s="797"/>
      <c r="G588" s="798"/>
    </row>
    <row r="589" spans="1:7" ht="12.75">
      <c r="A589" s="491" t="s">
        <v>83</v>
      </c>
      <c r="B589" s="799" t="s">
        <v>1034</v>
      </c>
      <c r="C589" s="799"/>
      <c r="D589" s="799"/>
      <c r="E589" s="799"/>
      <c r="F589" s="799"/>
      <c r="G589" s="800"/>
    </row>
    <row r="590" spans="1:7" ht="12.75">
      <c r="A590" s="178"/>
      <c r="B590" s="179"/>
      <c r="C590" s="179"/>
      <c r="D590" s="179"/>
      <c r="E590" s="452"/>
      <c r="F590" s="452"/>
      <c r="G590" s="453"/>
    </row>
    <row r="591" spans="1:7" ht="12.75">
      <c r="A591" s="178" t="s">
        <v>1749</v>
      </c>
      <c r="B591" s="179"/>
      <c r="C591" s="179"/>
      <c r="D591" s="179"/>
      <c r="E591" s="452"/>
      <c r="F591" s="452"/>
      <c r="G591" s="453"/>
    </row>
    <row r="592" spans="1:7" ht="25.5">
      <c r="A592" s="171" t="s">
        <v>534</v>
      </c>
      <c r="B592" s="182" t="s">
        <v>154</v>
      </c>
      <c r="C592" s="172" t="s">
        <v>72</v>
      </c>
      <c r="D592" s="172" t="s">
        <v>75</v>
      </c>
      <c r="E592" s="373"/>
      <c r="F592" s="374"/>
      <c r="G592" s="375"/>
    </row>
    <row r="593" spans="1:7" ht="25.5">
      <c r="A593" s="173" t="s">
        <v>535</v>
      </c>
      <c r="B593" s="174" t="s">
        <v>536</v>
      </c>
      <c r="C593" s="175" t="s">
        <v>73</v>
      </c>
      <c r="D593" s="175" t="s">
        <v>75</v>
      </c>
      <c r="E593" s="434">
        <v>1</v>
      </c>
      <c r="F593" s="435">
        <v>125.71</v>
      </c>
      <c r="G593" s="436">
        <f>E593*F593</f>
        <v>125.71</v>
      </c>
    </row>
    <row r="594" spans="1:7" ht="51">
      <c r="A594" s="173" t="s">
        <v>537</v>
      </c>
      <c r="B594" s="174" t="s">
        <v>538</v>
      </c>
      <c r="C594" s="175" t="s">
        <v>73</v>
      </c>
      <c r="D594" s="175" t="s">
        <v>75</v>
      </c>
      <c r="E594" s="434">
        <v>8</v>
      </c>
      <c r="F594" s="435">
        <v>0.31</v>
      </c>
      <c r="G594" s="436">
        <f>E594*F594</f>
        <v>2.48</v>
      </c>
    </row>
    <row r="595" spans="1:7" ht="25.5">
      <c r="A595" s="173" t="s">
        <v>539</v>
      </c>
      <c r="B595" s="174" t="s">
        <v>540</v>
      </c>
      <c r="C595" s="175" t="s">
        <v>72</v>
      </c>
      <c r="D595" s="175" t="s">
        <v>77</v>
      </c>
      <c r="E595" s="434">
        <v>0.55</v>
      </c>
      <c r="F595" s="435">
        <v>12.85</v>
      </c>
      <c r="G595" s="436">
        <f>E595*F595</f>
        <v>7.067500000000001</v>
      </c>
    </row>
    <row r="596" spans="1:7" ht="25.5">
      <c r="A596" s="173" t="s">
        <v>454</v>
      </c>
      <c r="B596" s="174" t="s">
        <v>455</v>
      </c>
      <c r="C596" s="175" t="s">
        <v>72</v>
      </c>
      <c r="D596" s="175" t="s">
        <v>77</v>
      </c>
      <c r="E596" s="434">
        <v>0.55</v>
      </c>
      <c r="F596" s="435">
        <v>14.95</v>
      </c>
      <c r="G596" s="436">
        <f>E596*F596</f>
        <v>8.2225</v>
      </c>
    </row>
    <row r="597" spans="1:7" ht="12.75">
      <c r="A597" s="783" t="s">
        <v>439</v>
      </c>
      <c r="B597" s="784"/>
      <c r="C597" s="784"/>
      <c r="D597" s="784"/>
      <c r="E597" s="784"/>
      <c r="F597" s="784"/>
      <c r="G597" s="440">
        <f>SUM(G595:G596)</f>
        <v>15.290000000000001</v>
      </c>
    </row>
    <row r="598" spans="1:7" ht="12.75">
      <c r="A598" s="783" t="s">
        <v>440</v>
      </c>
      <c r="B598" s="784"/>
      <c r="C598" s="784"/>
      <c r="D598" s="784"/>
      <c r="E598" s="784"/>
      <c r="F598" s="784"/>
      <c r="G598" s="440">
        <f>SUM(G593:G594)</f>
        <v>128.19</v>
      </c>
    </row>
    <row r="599" spans="1:7" ht="12.75">
      <c r="A599" s="783" t="s">
        <v>441</v>
      </c>
      <c r="B599" s="784"/>
      <c r="C599" s="784"/>
      <c r="D599" s="784"/>
      <c r="E599" s="784"/>
      <c r="F599" s="784"/>
      <c r="G599" s="440">
        <f>SUM(G597:G598)</f>
        <v>143.48</v>
      </c>
    </row>
    <row r="600" spans="1:7" ht="12.75">
      <c r="A600" s="783" t="s">
        <v>442</v>
      </c>
      <c r="B600" s="784"/>
      <c r="C600" s="784"/>
      <c r="D600" s="784"/>
      <c r="E600" s="784"/>
      <c r="F600" s="784"/>
      <c r="G600" s="440">
        <f>G597*85.16%</f>
        <v>13.020964</v>
      </c>
    </row>
    <row r="601" spans="1:7" ht="12.75">
      <c r="A601" s="783" t="s">
        <v>443</v>
      </c>
      <c r="B601" s="784"/>
      <c r="C601" s="784"/>
      <c r="D601" s="784"/>
      <c r="E601" s="784"/>
      <c r="F601" s="784"/>
      <c r="G601" s="440">
        <f>G600</f>
        <v>13.020964</v>
      </c>
    </row>
    <row r="602" spans="1:7" ht="12.75">
      <c r="A602" s="785" t="s">
        <v>444</v>
      </c>
      <c r="B602" s="786"/>
      <c r="C602" s="786"/>
      <c r="D602" s="786"/>
      <c r="E602" s="786"/>
      <c r="F602" s="787"/>
      <c r="G602" s="440">
        <f>G598</f>
        <v>128.19</v>
      </c>
    </row>
    <row r="603" spans="1:7" ht="12.75">
      <c r="A603" s="785" t="s">
        <v>445</v>
      </c>
      <c r="B603" s="786"/>
      <c r="C603" s="786"/>
      <c r="D603" s="786"/>
      <c r="E603" s="786"/>
      <c r="F603" s="787"/>
      <c r="G603" s="440">
        <f>G597+G601</f>
        <v>28.310964</v>
      </c>
    </row>
    <row r="604" spans="1:7" ht="12.75">
      <c r="A604" s="785" t="s">
        <v>446</v>
      </c>
      <c r="B604" s="786"/>
      <c r="C604" s="786"/>
      <c r="D604" s="786"/>
      <c r="E604" s="786"/>
      <c r="F604" s="787"/>
      <c r="G604" s="440">
        <f>SUM(G602:G603)</f>
        <v>156.500964</v>
      </c>
    </row>
    <row r="605" spans="1:7" ht="12.75">
      <c r="A605" s="796"/>
      <c r="B605" s="797"/>
      <c r="C605" s="797"/>
      <c r="D605" s="797"/>
      <c r="E605" s="797"/>
      <c r="F605" s="797"/>
      <c r="G605" s="798"/>
    </row>
    <row r="606" spans="1:7" ht="12.75" customHeight="1">
      <c r="A606" s="491" t="s">
        <v>83</v>
      </c>
      <c r="B606" s="799" t="s">
        <v>451</v>
      </c>
      <c r="C606" s="799"/>
      <c r="D606" s="799"/>
      <c r="E606" s="799"/>
      <c r="F606" s="799"/>
      <c r="G606" s="800"/>
    </row>
    <row r="607" spans="1:7" ht="12.75">
      <c r="A607" s="804"/>
      <c r="B607" s="805"/>
      <c r="C607" s="805"/>
      <c r="D607" s="805"/>
      <c r="E607" s="805"/>
      <c r="F607" s="805"/>
      <c r="G607" s="806"/>
    </row>
    <row r="608" spans="1:7" ht="12.75">
      <c r="A608" s="178" t="s">
        <v>1444</v>
      </c>
      <c r="B608" s="178" t="s">
        <v>1445</v>
      </c>
      <c r="C608" s="178"/>
      <c r="D608" s="178"/>
      <c r="E608" s="178"/>
      <c r="F608" s="178"/>
      <c r="G608" s="178"/>
    </row>
    <row r="609" spans="1:7" ht="12.75">
      <c r="A609" s="178" t="s">
        <v>1602</v>
      </c>
      <c r="B609" s="178" t="s">
        <v>1603</v>
      </c>
      <c r="C609" s="178"/>
      <c r="D609" s="178"/>
      <c r="E609" s="178"/>
      <c r="F609" s="178"/>
      <c r="G609" s="178"/>
    </row>
    <row r="610" spans="1:7" ht="12.75">
      <c r="A610" s="178" t="s">
        <v>1672</v>
      </c>
      <c r="B610" s="178"/>
      <c r="C610" s="178"/>
      <c r="D610" s="178"/>
      <c r="E610" s="178"/>
      <c r="F610" s="178"/>
      <c r="G610" s="178"/>
    </row>
    <row r="611" spans="1:7" ht="38.25">
      <c r="A611" s="171" t="s">
        <v>911</v>
      </c>
      <c r="B611" s="182" t="s">
        <v>912</v>
      </c>
      <c r="C611" s="172" t="s">
        <v>72</v>
      </c>
      <c r="D611" s="172" t="s">
        <v>82</v>
      </c>
      <c r="E611" s="373"/>
      <c r="F611" s="374"/>
      <c r="G611" s="375"/>
    </row>
    <row r="612" spans="1:7" ht="25.5">
      <c r="A612" s="173" t="s">
        <v>913</v>
      </c>
      <c r="B612" s="174" t="s">
        <v>914</v>
      </c>
      <c r="C612" s="175" t="s">
        <v>73</v>
      </c>
      <c r="D612" s="175" t="s">
        <v>424</v>
      </c>
      <c r="E612" s="434">
        <v>0.0426</v>
      </c>
      <c r="F612" s="435">
        <v>10.5</v>
      </c>
      <c r="G612" s="436">
        <f>E612*F612</f>
        <v>0.4473</v>
      </c>
    </row>
    <row r="613" spans="1:7" ht="38.25">
      <c r="A613" s="173" t="s">
        <v>915</v>
      </c>
      <c r="B613" s="174" t="s">
        <v>916</v>
      </c>
      <c r="C613" s="175" t="s">
        <v>73</v>
      </c>
      <c r="D613" s="175" t="s">
        <v>82</v>
      </c>
      <c r="E613" s="434">
        <v>1.0966</v>
      </c>
      <c r="F613" s="435">
        <v>16.67</v>
      </c>
      <c r="G613" s="436">
        <f aca="true" t="shared" si="5" ref="G613:G622">E613*F613</f>
        <v>18.280322</v>
      </c>
    </row>
    <row r="614" spans="1:7" ht="51">
      <c r="A614" s="173" t="s">
        <v>917</v>
      </c>
      <c r="B614" s="174" t="s">
        <v>918</v>
      </c>
      <c r="C614" s="175" t="s">
        <v>73</v>
      </c>
      <c r="D614" s="175" t="s">
        <v>71</v>
      </c>
      <c r="E614" s="434">
        <v>3.851</v>
      </c>
      <c r="F614" s="435">
        <v>2.92</v>
      </c>
      <c r="G614" s="436">
        <f t="shared" si="5"/>
        <v>11.24492</v>
      </c>
    </row>
    <row r="615" spans="1:7" ht="63.75">
      <c r="A615" s="173" t="s">
        <v>919</v>
      </c>
      <c r="B615" s="174" t="s">
        <v>920</v>
      </c>
      <c r="C615" s="175" t="s">
        <v>73</v>
      </c>
      <c r="D615" s="175" t="s">
        <v>75</v>
      </c>
      <c r="E615" s="434">
        <v>1.3265</v>
      </c>
      <c r="F615" s="435">
        <v>1.1</v>
      </c>
      <c r="G615" s="436">
        <f t="shared" si="5"/>
        <v>1.4591500000000002</v>
      </c>
    </row>
    <row r="616" spans="1:7" ht="51">
      <c r="A616" s="173" t="s">
        <v>921</v>
      </c>
      <c r="B616" s="174" t="s">
        <v>922</v>
      </c>
      <c r="C616" s="175" t="s">
        <v>73</v>
      </c>
      <c r="D616" s="175" t="s">
        <v>71</v>
      </c>
      <c r="E616" s="434">
        <v>1.4395</v>
      </c>
      <c r="F616" s="435">
        <v>2.47</v>
      </c>
      <c r="G616" s="436">
        <f t="shared" si="5"/>
        <v>3.555565</v>
      </c>
    </row>
    <row r="617" spans="1:7" ht="63.75">
      <c r="A617" s="173" t="s">
        <v>923</v>
      </c>
      <c r="B617" s="174" t="s">
        <v>924</v>
      </c>
      <c r="C617" s="175" t="s">
        <v>73</v>
      </c>
      <c r="D617" s="175" t="s">
        <v>424</v>
      </c>
      <c r="E617" s="434">
        <v>0.5202</v>
      </c>
      <c r="F617" s="435">
        <v>3.31</v>
      </c>
      <c r="G617" s="436">
        <f t="shared" si="5"/>
        <v>1.721862</v>
      </c>
    </row>
    <row r="618" spans="1:7" ht="51">
      <c r="A618" s="173" t="s">
        <v>925</v>
      </c>
      <c r="B618" s="174" t="s">
        <v>926</v>
      </c>
      <c r="C618" s="175" t="s">
        <v>73</v>
      </c>
      <c r="D618" s="175" t="s">
        <v>75</v>
      </c>
      <c r="E618" s="434">
        <v>7.974</v>
      </c>
      <c r="F618" s="435">
        <v>0.04</v>
      </c>
      <c r="G618" s="436">
        <f t="shared" si="5"/>
        <v>0.31896</v>
      </c>
    </row>
    <row r="619" spans="1:7" ht="51">
      <c r="A619" s="173" t="s">
        <v>927</v>
      </c>
      <c r="B619" s="174" t="s">
        <v>928</v>
      </c>
      <c r="C619" s="175" t="s">
        <v>73</v>
      </c>
      <c r="D619" s="175" t="s">
        <v>75</v>
      </c>
      <c r="E619" s="434">
        <v>2.1912</v>
      </c>
      <c r="F619" s="435">
        <v>0.09</v>
      </c>
      <c r="G619" s="436">
        <f t="shared" si="5"/>
        <v>0.19720799999999997</v>
      </c>
    </row>
    <row r="620" spans="1:7" ht="25.5">
      <c r="A620" s="173" t="s">
        <v>929</v>
      </c>
      <c r="B620" s="174" t="s">
        <v>930</v>
      </c>
      <c r="C620" s="175" t="s">
        <v>73</v>
      </c>
      <c r="D620" s="175" t="s">
        <v>931</v>
      </c>
      <c r="E620" s="434">
        <v>0.0132</v>
      </c>
      <c r="F620" s="435">
        <v>11.11</v>
      </c>
      <c r="G620" s="436">
        <f t="shared" si="5"/>
        <v>0.146652</v>
      </c>
    </row>
    <row r="621" spans="1:7" ht="25.5">
      <c r="A621" s="173" t="s">
        <v>932</v>
      </c>
      <c r="B621" s="174" t="s">
        <v>933</v>
      </c>
      <c r="C621" s="175" t="s">
        <v>72</v>
      </c>
      <c r="D621" s="175" t="s">
        <v>77</v>
      </c>
      <c r="E621" s="434">
        <v>0.3628</v>
      </c>
      <c r="F621" s="435">
        <v>11.49</v>
      </c>
      <c r="G621" s="436">
        <f t="shared" si="5"/>
        <v>4.168572</v>
      </c>
    </row>
    <row r="622" spans="1:7" ht="25.5">
      <c r="A622" s="173" t="s">
        <v>437</v>
      </c>
      <c r="B622" s="174" t="s">
        <v>438</v>
      </c>
      <c r="C622" s="175" t="s">
        <v>72</v>
      </c>
      <c r="D622" s="175" t="s">
        <v>77</v>
      </c>
      <c r="E622" s="434">
        <v>0.3628</v>
      </c>
      <c r="F622" s="435">
        <v>12.64</v>
      </c>
      <c r="G622" s="436">
        <f t="shared" si="5"/>
        <v>4.5857920000000005</v>
      </c>
    </row>
    <row r="623" spans="1:7" ht="12.75">
      <c r="A623" s="783" t="s">
        <v>439</v>
      </c>
      <c r="B623" s="784"/>
      <c r="C623" s="784"/>
      <c r="D623" s="784"/>
      <c r="E623" s="784"/>
      <c r="F623" s="784"/>
      <c r="G623" s="440">
        <f>SUM(G621:G622)</f>
        <v>8.754364</v>
      </c>
    </row>
    <row r="624" spans="1:7" ht="12.75">
      <c r="A624" s="783" t="s">
        <v>440</v>
      </c>
      <c r="B624" s="784"/>
      <c r="C624" s="784"/>
      <c r="D624" s="784"/>
      <c r="E624" s="784"/>
      <c r="F624" s="784"/>
      <c r="G624" s="440">
        <f>SUM(G612:G620)</f>
        <v>37.371939000000005</v>
      </c>
    </row>
    <row r="625" spans="1:7" ht="12.75">
      <c r="A625" s="783" t="s">
        <v>441</v>
      </c>
      <c r="B625" s="784"/>
      <c r="C625" s="784"/>
      <c r="D625" s="784"/>
      <c r="E625" s="784"/>
      <c r="F625" s="784"/>
      <c r="G625" s="440">
        <f>ROUNDDOWN(SUM(G623:G624),2)</f>
        <v>46.12</v>
      </c>
    </row>
    <row r="626" spans="1:7" ht="12.75">
      <c r="A626" s="783" t="s">
        <v>442</v>
      </c>
      <c r="B626" s="784"/>
      <c r="C626" s="784"/>
      <c r="D626" s="784"/>
      <c r="E626" s="784"/>
      <c r="F626" s="784"/>
      <c r="G626" s="440">
        <f>G623*85.16%</f>
        <v>7.4552163824</v>
      </c>
    </row>
    <row r="627" spans="1:7" ht="12.75">
      <c r="A627" s="783" t="s">
        <v>443</v>
      </c>
      <c r="B627" s="784"/>
      <c r="C627" s="784"/>
      <c r="D627" s="784"/>
      <c r="E627" s="784"/>
      <c r="F627" s="784"/>
      <c r="G627" s="440">
        <f>G626</f>
        <v>7.4552163824</v>
      </c>
    </row>
    <row r="628" spans="1:7" ht="12.75">
      <c r="A628" s="785" t="s">
        <v>444</v>
      </c>
      <c r="B628" s="786"/>
      <c r="C628" s="786"/>
      <c r="D628" s="786"/>
      <c r="E628" s="786"/>
      <c r="F628" s="787"/>
      <c r="G628" s="440">
        <f>G624</f>
        <v>37.371939000000005</v>
      </c>
    </row>
    <row r="629" spans="1:7" ht="12.75">
      <c r="A629" s="785" t="s">
        <v>445</v>
      </c>
      <c r="B629" s="786"/>
      <c r="C629" s="786"/>
      <c r="D629" s="786"/>
      <c r="E629" s="786"/>
      <c r="F629" s="787"/>
      <c r="G629" s="440">
        <f>G623+G627</f>
        <v>16.2095803824</v>
      </c>
    </row>
    <row r="630" spans="1:7" ht="12.75">
      <c r="A630" s="785" t="s">
        <v>446</v>
      </c>
      <c r="B630" s="786"/>
      <c r="C630" s="786"/>
      <c r="D630" s="786"/>
      <c r="E630" s="786"/>
      <c r="F630" s="787"/>
      <c r="G630" s="440">
        <f>SUM(G628:G629)</f>
        <v>53.5815193824</v>
      </c>
    </row>
    <row r="631" spans="1:7" ht="12.75">
      <c r="A631" s="796"/>
      <c r="B631" s="797"/>
      <c r="C631" s="797"/>
      <c r="D631" s="797"/>
      <c r="E631" s="797"/>
      <c r="F631" s="797"/>
      <c r="G631" s="798"/>
    </row>
    <row r="632" spans="1:7" ht="12.75">
      <c r="A632" s="176" t="s">
        <v>1673</v>
      </c>
      <c r="B632" s="592"/>
      <c r="C632" s="592"/>
      <c r="D632" s="592"/>
      <c r="E632" s="592"/>
      <c r="F632" s="592"/>
      <c r="G632" s="593"/>
    </row>
    <row r="633" spans="1:7" ht="25.5">
      <c r="A633" s="171" t="s">
        <v>906</v>
      </c>
      <c r="B633" s="182" t="s">
        <v>109</v>
      </c>
      <c r="C633" s="172" t="s">
        <v>72</v>
      </c>
      <c r="D633" s="172" t="s">
        <v>82</v>
      </c>
      <c r="E633" s="373"/>
      <c r="F633" s="374"/>
      <c r="G633" s="375"/>
    </row>
    <row r="634" spans="1:7" ht="25.5">
      <c r="A634" s="173" t="s">
        <v>907</v>
      </c>
      <c r="B634" s="174" t="s">
        <v>908</v>
      </c>
      <c r="C634" s="175" t="s">
        <v>72</v>
      </c>
      <c r="D634" s="175" t="s">
        <v>77</v>
      </c>
      <c r="E634" s="434">
        <v>1.5</v>
      </c>
      <c r="F634" s="435">
        <v>14</v>
      </c>
      <c r="G634" s="436">
        <f>E634*F634</f>
        <v>21</v>
      </c>
    </row>
    <row r="635" spans="1:7" ht="25.5">
      <c r="A635" s="173" t="s">
        <v>437</v>
      </c>
      <c r="B635" s="174" t="s">
        <v>438</v>
      </c>
      <c r="C635" s="175" t="s">
        <v>72</v>
      </c>
      <c r="D635" s="175" t="s">
        <v>77</v>
      </c>
      <c r="E635" s="434">
        <v>1.5</v>
      </c>
      <c r="F635" s="435">
        <v>12.64</v>
      </c>
      <c r="G635" s="436">
        <f>E635*F635</f>
        <v>18.96</v>
      </c>
    </row>
    <row r="636" spans="1:7" ht="63.75">
      <c r="A636" s="173" t="s">
        <v>909</v>
      </c>
      <c r="B636" s="174" t="s">
        <v>910</v>
      </c>
      <c r="C636" s="175" t="s">
        <v>72</v>
      </c>
      <c r="D636" s="175" t="s">
        <v>82</v>
      </c>
      <c r="E636" s="434">
        <v>2</v>
      </c>
      <c r="F636" s="435">
        <v>46.44</v>
      </c>
      <c r="G636" s="436">
        <f>E636*F636</f>
        <v>92.88</v>
      </c>
    </row>
    <row r="637" spans="1:7" ht="12.75">
      <c r="A637" s="783" t="s">
        <v>439</v>
      </c>
      <c r="B637" s="784"/>
      <c r="C637" s="784"/>
      <c r="D637" s="784"/>
      <c r="E637" s="784"/>
      <c r="F637" s="784"/>
      <c r="G637" s="440">
        <f>SUM(G634:G635)</f>
        <v>39.96</v>
      </c>
    </row>
    <row r="638" spans="1:7" ht="12.75">
      <c r="A638" s="783" t="s">
        <v>440</v>
      </c>
      <c r="B638" s="784"/>
      <c r="C638" s="784"/>
      <c r="D638" s="784"/>
      <c r="E638" s="784"/>
      <c r="F638" s="784"/>
      <c r="G638" s="440">
        <f>SUM(G636)</f>
        <v>92.88</v>
      </c>
    </row>
    <row r="639" spans="1:7" ht="12.75">
      <c r="A639" s="783" t="s">
        <v>441</v>
      </c>
      <c r="B639" s="784"/>
      <c r="C639" s="784"/>
      <c r="D639" s="784"/>
      <c r="E639" s="784"/>
      <c r="F639" s="784"/>
      <c r="G639" s="440">
        <f>SUM(G637:G638)</f>
        <v>132.84</v>
      </c>
    </row>
    <row r="640" spans="1:7" ht="12.75">
      <c r="A640" s="783" t="s">
        <v>442</v>
      </c>
      <c r="B640" s="784"/>
      <c r="C640" s="784"/>
      <c r="D640" s="784"/>
      <c r="E640" s="784"/>
      <c r="F640" s="784"/>
      <c r="G640" s="440">
        <f>G637*85.16%</f>
        <v>34.029936</v>
      </c>
    </row>
    <row r="641" spans="1:7" ht="12.75">
      <c r="A641" s="783" t="s">
        <v>443</v>
      </c>
      <c r="B641" s="784"/>
      <c r="C641" s="784"/>
      <c r="D641" s="784"/>
      <c r="E641" s="784"/>
      <c r="F641" s="784"/>
      <c r="G641" s="440">
        <f>G640</f>
        <v>34.029936</v>
      </c>
    </row>
    <row r="642" spans="1:7" ht="12.75">
      <c r="A642" s="785" t="s">
        <v>444</v>
      </c>
      <c r="B642" s="786"/>
      <c r="C642" s="786"/>
      <c r="D642" s="786"/>
      <c r="E642" s="786"/>
      <c r="F642" s="787"/>
      <c r="G642" s="440">
        <f>G638</f>
        <v>92.88</v>
      </c>
    </row>
    <row r="643" spans="1:7" ht="12.75">
      <c r="A643" s="785" t="s">
        <v>445</v>
      </c>
      <c r="B643" s="786"/>
      <c r="C643" s="786"/>
      <c r="D643" s="786"/>
      <c r="E643" s="786"/>
      <c r="F643" s="787"/>
      <c r="G643" s="440">
        <f>G637+G641</f>
        <v>73.989936</v>
      </c>
    </row>
    <row r="644" spans="1:7" ht="12.75">
      <c r="A644" s="785" t="s">
        <v>446</v>
      </c>
      <c r="B644" s="786"/>
      <c r="C644" s="786"/>
      <c r="D644" s="786"/>
      <c r="E644" s="786"/>
      <c r="F644" s="787"/>
      <c r="G644" s="440">
        <f>SUM(G642:G643)</f>
        <v>166.869936</v>
      </c>
    </row>
    <row r="645" spans="1:7" ht="12.75">
      <c r="A645" s="491" t="s">
        <v>83</v>
      </c>
      <c r="B645" s="799" t="s">
        <v>570</v>
      </c>
      <c r="C645" s="799"/>
      <c r="D645" s="799"/>
      <c r="E645" s="799"/>
      <c r="F645" s="799"/>
      <c r="G645" s="800"/>
    </row>
    <row r="646" spans="1:7" ht="12.75">
      <c r="A646" s="804"/>
      <c r="B646" s="805"/>
      <c r="C646" s="805"/>
      <c r="D646" s="805"/>
      <c r="E646" s="805"/>
      <c r="F646" s="805"/>
      <c r="G646" s="806"/>
    </row>
    <row r="647" spans="1:7" ht="12.75">
      <c r="A647" s="594"/>
      <c r="B647" s="595"/>
      <c r="C647" s="595"/>
      <c r="D647" s="595"/>
      <c r="E647" s="595"/>
      <c r="F647" s="595"/>
      <c r="G647" s="596"/>
    </row>
    <row r="648" spans="1:7" ht="12.75">
      <c r="A648" s="176" t="s">
        <v>1446</v>
      </c>
      <c r="B648" s="176" t="s">
        <v>1447</v>
      </c>
      <c r="C648" s="176"/>
      <c r="D648" s="176"/>
      <c r="E648" s="176"/>
      <c r="F648" s="176"/>
      <c r="G648" s="176"/>
    </row>
    <row r="649" spans="1:7" ht="12.75">
      <c r="A649" s="176" t="s">
        <v>1598</v>
      </c>
      <c r="B649" s="176"/>
      <c r="C649" s="176"/>
      <c r="D649" s="176"/>
      <c r="E649" s="176"/>
      <c r="F649" s="176"/>
      <c r="G649" s="176"/>
    </row>
    <row r="650" spans="1:7" ht="5.25" customHeight="1">
      <c r="A650" s="804"/>
      <c r="B650" s="805"/>
      <c r="C650" s="805"/>
      <c r="D650" s="805"/>
      <c r="E650" s="805"/>
      <c r="F650" s="805"/>
      <c r="G650" s="806"/>
    </row>
    <row r="651" spans="1:7" ht="38.25">
      <c r="A651" s="499" t="s">
        <v>893</v>
      </c>
      <c r="B651" s="182" t="s">
        <v>892</v>
      </c>
      <c r="C651" s="172" t="s">
        <v>72</v>
      </c>
      <c r="D651" s="172" t="s">
        <v>477</v>
      </c>
      <c r="E651" s="373"/>
      <c r="F651" s="374"/>
      <c r="G651" s="375"/>
    </row>
    <row r="652" spans="1:7" ht="51">
      <c r="A652" s="173" t="s">
        <v>893</v>
      </c>
      <c r="B652" s="174" t="s">
        <v>894</v>
      </c>
      <c r="C652" s="175" t="s">
        <v>72</v>
      </c>
      <c r="D652" s="175" t="s">
        <v>477</v>
      </c>
      <c r="E652" s="434">
        <v>0.005</v>
      </c>
      <c r="F652" s="435">
        <v>323.96</v>
      </c>
      <c r="G652" s="436">
        <f>E652*F652</f>
        <v>1.6198</v>
      </c>
    </row>
    <row r="653" spans="1:7" ht="25.5">
      <c r="A653" s="173" t="s">
        <v>449</v>
      </c>
      <c r="B653" s="174" t="s">
        <v>450</v>
      </c>
      <c r="C653" s="175" t="s">
        <v>72</v>
      </c>
      <c r="D653" s="175" t="s">
        <v>77</v>
      </c>
      <c r="E653" s="434">
        <v>0.1</v>
      </c>
      <c r="F653" s="435">
        <v>15.14</v>
      </c>
      <c r="G653" s="436">
        <f>E653*F653</f>
        <v>1.5140000000000002</v>
      </c>
    </row>
    <row r="654" spans="1:7" ht="25.5">
      <c r="A654" s="173" t="s">
        <v>437</v>
      </c>
      <c r="B654" s="174" t="s">
        <v>438</v>
      </c>
      <c r="C654" s="175" t="s">
        <v>72</v>
      </c>
      <c r="D654" s="175" t="s">
        <v>77</v>
      </c>
      <c r="E654" s="434">
        <v>0.1</v>
      </c>
      <c r="F654" s="435">
        <v>12.64</v>
      </c>
      <c r="G654" s="436">
        <f>E654*F654</f>
        <v>1.2640000000000002</v>
      </c>
    </row>
    <row r="655" spans="1:7" ht="12.75">
      <c r="A655" s="783" t="s">
        <v>439</v>
      </c>
      <c r="B655" s="784"/>
      <c r="C655" s="784"/>
      <c r="D655" s="784"/>
      <c r="E655" s="784"/>
      <c r="F655" s="784"/>
      <c r="G655" s="440">
        <f>SUM(G653:G654)</f>
        <v>2.7780000000000005</v>
      </c>
    </row>
    <row r="656" spans="1:7" ht="12.75">
      <c r="A656" s="783" t="s">
        <v>440</v>
      </c>
      <c r="B656" s="784"/>
      <c r="C656" s="784"/>
      <c r="D656" s="784"/>
      <c r="E656" s="784"/>
      <c r="F656" s="784"/>
      <c r="G656" s="440">
        <f>SUM(G652)</f>
        <v>1.6198</v>
      </c>
    </row>
    <row r="657" spans="1:7" ht="12.75">
      <c r="A657" s="783" t="s">
        <v>441</v>
      </c>
      <c r="B657" s="784"/>
      <c r="C657" s="784"/>
      <c r="D657" s="784"/>
      <c r="E657" s="784"/>
      <c r="F657" s="784"/>
      <c r="G657" s="440">
        <f>SUM(G655:G656)</f>
        <v>4.3978</v>
      </c>
    </row>
    <row r="658" spans="1:7" ht="12.75">
      <c r="A658" s="783" t="s">
        <v>442</v>
      </c>
      <c r="B658" s="784"/>
      <c r="C658" s="784"/>
      <c r="D658" s="784"/>
      <c r="E658" s="784"/>
      <c r="F658" s="784"/>
      <c r="G658" s="440">
        <f>G655*85.16%</f>
        <v>2.3657448000000003</v>
      </c>
    </row>
    <row r="659" spans="1:7" ht="12.75">
      <c r="A659" s="783" t="s">
        <v>443</v>
      </c>
      <c r="B659" s="784"/>
      <c r="C659" s="784"/>
      <c r="D659" s="784"/>
      <c r="E659" s="784"/>
      <c r="F659" s="784"/>
      <c r="G659" s="440">
        <f>G658</f>
        <v>2.3657448000000003</v>
      </c>
    </row>
    <row r="660" spans="1:7" ht="12.75">
      <c r="A660" s="785" t="s">
        <v>444</v>
      </c>
      <c r="B660" s="786"/>
      <c r="C660" s="786"/>
      <c r="D660" s="786"/>
      <c r="E660" s="786"/>
      <c r="F660" s="787"/>
      <c r="G660" s="440">
        <f>G656</f>
        <v>1.6198</v>
      </c>
    </row>
    <row r="661" spans="1:7" ht="12.75">
      <c r="A661" s="785" t="s">
        <v>445</v>
      </c>
      <c r="B661" s="786"/>
      <c r="C661" s="786"/>
      <c r="D661" s="786"/>
      <c r="E661" s="786"/>
      <c r="F661" s="787"/>
      <c r="G661" s="440">
        <f>G655+G659</f>
        <v>5.1437448</v>
      </c>
    </row>
    <row r="662" spans="1:7" ht="12.75">
      <c r="A662" s="785" t="s">
        <v>446</v>
      </c>
      <c r="B662" s="786"/>
      <c r="C662" s="786"/>
      <c r="D662" s="786"/>
      <c r="E662" s="786"/>
      <c r="F662" s="787"/>
      <c r="G662" s="440">
        <f>SUM(G660:G661)</f>
        <v>6.7635448</v>
      </c>
    </row>
    <row r="663" spans="1:7" ht="12.75">
      <c r="A663" s="491" t="s">
        <v>83</v>
      </c>
      <c r="B663" s="799" t="s">
        <v>1268</v>
      </c>
      <c r="C663" s="799"/>
      <c r="D663" s="799"/>
      <c r="E663" s="799"/>
      <c r="F663" s="799"/>
      <c r="G663" s="800"/>
    </row>
    <row r="664" spans="1:7" ht="12.75">
      <c r="A664" s="804"/>
      <c r="B664" s="805"/>
      <c r="C664" s="805"/>
      <c r="D664" s="805"/>
      <c r="E664" s="805"/>
      <c r="F664" s="805"/>
      <c r="G664" s="806"/>
    </row>
    <row r="665" spans="1:7" ht="12.75">
      <c r="A665" s="704" t="s">
        <v>1599</v>
      </c>
      <c r="B665" s="595"/>
      <c r="C665" s="595"/>
      <c r="D665" s="595"/>
      <c r="E665" s="595"/>
      <c r="F665" s="595"/>
      <c r="G665" s="596"/>
    </row>
    <row r="666" spans="1:7" ht="102">
      <c r="A666" s="171" t="s">
        <v>895</v>
      </c>
      <c r="B666" s="182" t="s">
        <v>896</v>
      </c>
      <c r="C666" s="172" t="s">
        <v>72</v>
      </c>
      <c r="D666" s="172" t="s">
        <v>82</v>
      </c>
      <c r="E666" s="373"/>
      <c r="F666" s="374"/>
      <c r="G666" s="375"/>
    </row>
    <row r="667" spans="1:7" ht="63.75">
      <c r="A667" s="173" t="s">
        <v>897</v>
      </c>
      <c r="B667" s="174" t="s">
        <v>898</v>
      </c>
      <c r="C667" s="175" t="s">
        <v>72</v>
      </c>
      <c r="D667" s="175" t="s">
        <v>477</v>
      </c>
      <c r="E667" s="434">
        <v>0.0359</v>
      </c>
      <c r="F667" s="435">
        <v>348.67</v>
      </c>
      <c r="G667" s="436">
        <f>E667*F667</f>
        <v>12.517253</v>
      </c>
    </row>
    <row r="668" spans="1:7" ht="25.5">
      <c r="A668" s="173" t="s">
        <v>449</v>
      </c>
      <c r="B668" s="174" t="s">
        <v>450</v>
      </c>
      <c r="C668" s="175" t="s">
        <v>72</v>
      </c>
      <c r="D668" s="175" t="s">
        <v>77</v>
      </c>
      <c r="E668" s="434">
        <v>1.09</v>
      </c>
      <c r="F668" s="435">
        <v>15.14</v>
      </c>
      <c r="G668" s="436">
        <f>E668*F668</f>
        <v>16.5026</v>
      </c>
    </row>
    <row r="669" spans="1:7" ht="25.5">
      <c r="A669" s="173" t="s">
        <v>437</v>
      </c>
      <c r="B669" s="174" t="s">
        <v>438</v>
      </c>
      <c r="C669" s="175" t="s">
        <v>72</v>
      </c>
      <c r="D669" s="175" t="s">
        <v>77</v>
      </c>
      <c r="E669" s="434">
        <v>1.09</v>
      </c>
      <c r="F669" s="435">
        <v>12.64</v>
      </c>
      <c r="G669" s="436">
        <f>E669*F669</f>
        <v>13.777600000000001</v>
      </c>
    </row>
    <row r="670" spans="1:7" ht="12.75">
      <c r="A670" s="783" t="s">
        <v>439</v>
      </c>
      <c r="B670" s="784"/>
      <c r="C670" s="784"/>
      <c r="D670" s="784"/>
      <c r="E670" s="784"/>
      <c r="F670" s="784"/>
      <c r="G670" s="440">
        <f>SUM(G668:G669)</f>
        <v>30.2802</v>
      </c>
    </row>
    <row r="671" spans="1:7" ht="12.75">
      <c r="A671" s="783" t="s">
        <v>440</v>
      </c>
      <c r="B671" s="784"/>
      <c r="C671" s="784"/>
      <c r="D671" s="784"/>
      <c r="E671" s="784"/>
      <c r="F671" s="784"/>
      <c r="G671" s="440">
        <f>SUM(G667)</f>
        <v>12.517253</v>
      </c>
    </row>
    <row r="672" spans="1:7" ht="12.75">
      <c r="A672" s="783" t="s">
        <v>441</v>
      </c>
      <c r="B672" s="784"/>
      <c r="C672" s="784"/>
      <c r="D672" s="784"/>
      <c r="E672" s="784"/>
      <c r="F672" s="784"/>
      <c r="G672" s="440">
        <f>SUM(G670:G671)</f>
        <v>42.797453000000004</v>
      </c>
    </row>
    <row r="673" spans="1:7" ht="12.75">
      <c r="A673" s="783" t="s">
        <v>442</v>
      </c>
      <c r="B673" s="784"/>
      <c r="C673" s="784"/>
      <c r="D673" s="784"/>
      <c r="E673" s="784"/>
      <c r="F673" s="784"/>
      <c r="G673" s="440">
        <f>G670*85.16%</f>
        <v>25.78661832</v>
      </c>
    </row>
    <row r="674" spans="1:7" ht="12.75">
      <c r="A674" s="783" t="s">
        <v>443</v>
      </c>
      <c r="B674" s="784"/>
      <c r="C674" s="784"/>
      <c r="D674" s="784"/>
      <c r="E674" s="784"/>
      <c r="F674" s="784"/>
      <c r="G674" s="440">
        <f>G673</f>
        <v>25.78661832</v>
      </c>
    </row>
    <row r="675" spans="1:7" ht="12.75">
      <c r="A675" s="785" t="s">
        <v>444</v>
      </c>
      <c r="B675" s="786"/>
      <c r="C675" s="786"/>
      <c r="D675" s="786"/>
      <c r="E675" s="786"/>
      <c r="F675" s="787"/>
      <c r="G675" s="440">
        <f>G671</f>
        <v>12.517253</v>
      </c>
    </row>
    <row r="676" spans="1:7" ht="12.75">
      <c r="A676" s="785" t="s">
        <v>445</v>
      </c>
      <c r="B676" s="786"/>
      <c r="C676" s="786"/>
      <c r="D676" s="786"/>
      <c r="E676" s="786"/>
      <c r="F676" s="787"/>
      <c r="G676" s="440">
        <f>G670+G674</f>
        <v>56.066818319999996</v>
      </c>
    </row>
    <row r="677" spans="1:7" ht="12.75">
      <c r="A677" s="785" t="s">
        <v>446</v>
      </c>
      <c r="B677" s="786"/>
      <c r="C677" s="786"/>
      <c r="D677" s="786"/>
      <c r="E677" s="786"/>
      <c r="F677" s="787"/>
      <c r="G677" s="440">
        <f>SUM(G675:G676)</f>
        <v>68.58407131999999</v>
      </c>
    </row>
    <row r="678" spans="1:7" ht="12.75">
      <c r="A678" s="796"/>
      <c r="B678" s="797"/>
      <c r="C678" s="797"/>
      <c r="D678" s="797"/>
      <c r="E678" s="797"/>
      <c r="F678" s="797"/>
      <c r="G678" s="798"/>
    </row>
    <row r="679" spans="1:7" ht="12.75">
      <c r="A679" s="804"/>
      <c r="B679" s="805"/>
      <c r="C679" s="805"/>
      <c r="D679" s="805"/>
      <c r="E679" s="805"/>
      <c r="F679" s="805"/>
      <c r="G679" s="806"/>
    </row>
    <row r="680" spans="1:7" ht="12.75">
      <c r="A680" s="704" t="s">
        <v>1600</v>
      </c>
      <c r="B680" s="595"/>
      <c r="C680" s="595"/>
      <c r="D680" s="595"/>
      <c r="E680" s="595"/>
      <c r="F680" s="595"/>
      <c r="G680" s="596"/>
    </row>
    <row r="681" spans="1:7" ht="12.75">
      <c r="A681" s="499" t="s">
        <v>900</v>
      </c>
      <c r="B681" s="182" t="s">
        <v>899</v>
      </c>
      <c r="C681" s="172" t="s">
        <v>72</v>
      </c>
      <c r="D681" s="172" t="s">
        <v>477</v>
      </c>
      <c r="E681" s="373"/>
      <c r="F681" s="374"/>
      <c r="G681" s="375"/>
    </row>
    <row r="682" spans="1:7" ht="38.25">
      <c r="A682" s="173" t="s">
        <v>900</v>
      </c>
      <c r="B682" s="174" t="s">
        <v>901</v>
      </c>
      <c r="C682" s="175" t="s">
        <v>72</v>
      </c>
      <c r="D682" s="175" t="s">
        <v>477</v>
      </c>
      <c r="E682" s="434">
        <v>0.005</v>
      </c>
      <c r="F682" s="435">
        <v>872.84</v>
      </c>
      <c r="G682" s="436">
        <f>E682*F682</f>
        <v>4.3642</v>
      </c>
    </row>
    <row r="683" spans="1:7" ht="25.5">
      <c r="A683" s="173" t="s">
        <v>449</v>
      </c>
      <c r="B683" s="174" t="s">
        <v>450</v>
      </c>
      <c r="C683" s="175" t="s">
        <v>72</v>
      </c>
      <c r="D683" s="175" t="s">
        <v>77</v>
      </c>
      <c r="E683" s="434">
        <v>0.5</v>
      </c>
      <c r="F683" s="435">
        <v>15.14</v>
      </c>
      <c r="G683" s="436">
        <f>E683*F683</f>
        <v>7.57</v>
      </c>
    </row>
    <row r="684" spans="1:7" ht="25.5">
      <c r="A684" s="173" t="s">
        <v>437</v>
      </c>
      <c r="B684" s="174" t="s">
        <v>438</v>
      </c>
      <c r="C684" s="175" t="s">
        <v>72</v>
      </c>
      <c r="D684" s="175" t="s">
        <v>77</v>
      </c>
      <c r="E684" s="434">
        <v>0.5</v>
      </c>
      <c r="F684" s="435">
        <v>12.64</v>
      </c>
      <c r="G684" s="436">
        <f>E684*F684</f>
        <v>6.32</v>
      </c>
    </row>
    <row r="685" spans="1:7" ht="12.75">
      <c r="A685" s="783" t="s">
        <v>439</v>
      </c>
      <c r="B685" s="784"/>
      <c r="C685" s="784"/>
      <c r="D685" s="784"/>
      <c r="E685" s="784"/>
      <c r="F685" s="784"/>
      <c r="G685" s="440">
        <f>SUM(G683:G684)</f>
        <v>13.89</v>
      </c>
    </row>
    <row r="686" spans="1:7" ht="12.75">
      <c r="A686" s="783" t="s">
        <v>440</v>
      </c>
      <c r="B686" s="784"/>
      <c r="C686" s="784"/>
      <c r="D686" s="784"/>
      <c r="E686" s="784"/>
      <c r="F686" s="784"/>
      <c r="G686" s="440">
        <f>SUM(G682)</f>
        <v>4.3642</v>
      </c>
    </row>
    <row r="687" spans="1:7" ht="12.75">
      <c r="A687" s="783" t="s">
        <v>441</v>
      </c>
      <c r="B687" s="784"/>
      <c r="C687" s="784"/>
      <c r="D687" s="784"/>
      <c r="E687" s="784"/>
      <c r="F687" s="784"/>
      <c r="G687" s="440">
        <f>SUM(G685:G686)</f>
        <v>18.2542</v>
      </c>
    </row>
    <row r="688" spans="1:7" ht="12.75">
      <c r="A688" s="783" t="s">
        <v>442</v>
      </c>
      <c r="B688" s="784"/>
      <c r="C688" s="784"/>
      <c r="D688" s="784"/>
      <c r="E688" s="784"/>
      <c r="F688" s="784"/>
      <c r="G688" s="440">
        <f>G685*85.16%</f>
        <v>11.828724</v>
      </c>
    </row>
    <row r="689" spans="1:7" ht="12.75">
      <c r="A689" s="783" t="s">
        <v>443</v>
      </c>
      <c r="B689" s="784"/>
      <c r="C689" s="784"/>
      <c r="D689" s="784"/>
      <c r="E689" s="784"/>
      <c r="F689" s="784"/>
      <c r="G689" s="440">
        <f>G688</f>
        <v>11.828724</v>
      </c>
    </row>
    <row r="690" spans="1:7" ht="12.75">
      <c r="A690" s="785" t="s">
        <v>444</v>
      </c>
      <c r="B690" s="786"/>
      <c r="C690" s="786"/>
      <c r="D690" s="786"/>
      <c r="E690" s="786"/>
      <c r="F690" s="787"/>
      <c r="G690" s="440">
        <f>G686</f>
        <v>4.3642</v>
      </c>
    </row>
    <row r="691" spans="1:7" ht="12.75">
      <c r="A691" s="785" t="s">
        <v>445</v>
      </c>
      <c r="B691" s="786"/>
      <c r="C691" s="786"/>
      <c r="D691" s="786"/>
      <c r="E691" s="786"/>
      <c r="F691" s="787"/>
      <c r="G691" s="440">
        <f>G685+G689</f>
        <v>25.718724</v>
      </c>
    </row>
    <row r="692" spans="1:7" ht="12.75">
      <c r="A692" s="785" t="s">
        <v>446</v>
      </c>
      <c r="B692" s="786"/>
      <c r="C692" s="786"/>
      <c r="D692" s="786"/>
      <c r="E692" s="786"/>
      <c r="F692" s="787"/>
      <c r="G692" s="440">
        <f>SUM(G690:G691)</f>
        <v>30.082924000000002</v>
      </c>
    </row>
    <row r="693" spans="1:7" ht="12.75">
      <c r="A693" s="796"/>
      <c r="B693" s="797"/>
      <c r="C693" s="797"/>
      <c r="D693" s="797"/>
      <c r="E693" s="797"/>
      <c r="F693" s="797"/>
      <c r="G693" s="798"/>
    </row>
    <row r="694" spans="1:7" ht="12.75">
      <c r="A694" s="491" t="s">
        <v>83</v>
      </c>
      <c r="B694" s="799" t="s">
        <v>1269</v>
      </c>
      <c r="C694" s="799"/>
      <c r="D694" s="799"/>
      <c r="E694" s="799"/>
      <c r="F694" s="799"/>
      <c r="G694" s="800"/>
    </row>
    <row r="695" spans="1:7" ht="12.75">
      <c r="A695" s="804"/>
      <c r="B695" s="805"/>
      <c r="C695" s="805"/>
      <c r="D695" s="805"/>
      <c r="E695" s="805"/>
      <c r="F695" s="805"/>
      <c r="G695" s="806"/>
    </row>
    <row r="696" spans="1:7" ht="12.75">
      <c r="A696" s="704" t="s">
        <v>1601</v>
      </c>
      <c r="B696" s="595"/>
      <c r="C696" s="595"/>
      <c r="D696" s="595"/>
      <c r="E696" s="595"/>
      <c r="F696" s="595"/>
      <c r="G696" s="596"/>
    </row>
    <row r="697" spans="1:7" ht="76.5">
      <c r="A697" s="171" t="s">
        <v>962</v>
      </c>
      <c r="B697" s="182" t="s">
        <v>963</v>
      </c>
      <c r="C697" s="172" t="s">
        <v>72</v>
      </c>
      <c r="D697" s="172" t="s">
        <v>82</v>
      </c>
      <c r="E697" s="373"/>
      <c r="F697" s="374"/>
      <c r="G697" s="375"/>
    </row>
    <row r="698" spans="1:7" ht="25.5">
      <c r="A698" s="173" t="s">
        <v>958</v>
      </c>
      <c r="B698" s="174" t="s">
        <v>959</v>
      </c>
      <c r="C698" s="175" t="s">
        <v>73</v>
      </c>
      <c r="D698" s="175" t="s">
        <v>424</v>
      </c>
      <c r="E698" s="434">
        <v>4.86</v>
      </c>
      <c r="F698" s="435">
        <v>0.48</v>
      </c>
      <c r="G698" s="436">
        <f>E698*F698</f>
        <v>2.3328</v>
      </c>
    </row>
    <row r="699" spans="1:7" ht="12.75">
      <c r="A699" s="173" t="s">
        <v>964</v>
      </c>
      <c r="B699" s="174" t="s">
        <v>965</v>
      </c>
      <c r="C699" s="175" t="s">
        <v>73</v>
      </c>
      <c r="D699" s="175" t="s">
        <v>424</v>
      </c>
      <c r="E699" s="434">
        <v>0.42</v>
      </c>
      <c r="F699" s="435">
        <v>3.05</v>
      </c>
      <c r="G699" s="436">
        <f>E699*F699</f>
        <v>1.281</v>
      </c>
    </row>
    <row r="700" spans="1:7" ht="51">
      <c r="A700" s="173" t="s">
        <v>966</v>
      </c>
      <c r="B700" s="174" t="s">
        <v>967</v>
      </c>
      <c r="C700" s="175" t="s">
        <v>73</v>
      </c>
      <c r="D700" s="175" t="s">
        <v>82</v>
      </c>
      <c r="E700" s="434">
        <v>1.06</v>
      </c>
      <c r="F700" s="435">
        <v>23.9</v>
      </c>
      <c r="G700" s="436">
        <f>E700*F700</f>
        <v>25.334</v>
      </c>
    </row>
    <row r="701" spans="1:7" ht="25.5">
      <c r="A701" s="173" t="s">
        <v>968</v>
      </c>
      <c r="B701" s="174" t="s">
        <v>969</v>
      </c>
      <c r="C701" s="175" t="s">
        <v>72</v>
      </c>
      <c r="D701" s="175" t="s">
        <v>77</v>
      </c>
      <c r="E701" s="434">
        <v>0.7</v>
      </c>
      <c r="F701" s="435">
        <v>14.27</v>
      </c>
      <c r="G701" s="436">
        <f>E701*F701</f>
        <v>9.988999999999999</v>
      </c>
    </row>
    <row r="702" spans="1:7" ht="25.5">
      <c r="A702" s="173" t="s">
        <v>437</v>
      </c>
      <c r="B702" s="174" t="s">
        <v>438</v>
      </c>
      <c r="C702" s="175" t="s">
        <v>72</v>
      </c>
      <c r="D702" s="175" t="s">
        <v>77</v>
      </c>
      <c r="E702" s="434">
        <v>0.37</v>
      </c>
      <c r="F702" s="435">
        <v>12.64</v>
      </c>
      <c r="G702" s="436">
        <f>E702*F702</f>
        <v>4.6768</v>
      </c>
    </row>
    <row r="703" spans="1:7" ht="12.75">
      <c r="A703" s="783" t="s">
        <v>439</v>
      </c>
      <c r="B703" s="784"/>
      <c r="C703" s="784"/>
      <c r="D703" s="784"/>
      <c r="E703" s="784"/>
      <c r="F703" s="784"/>
      <c r="G703" s="440">
        <f>SUM(G701:G702)</f>
        <v>14.665799999999999</v>
      </c>
    </row>
    <row r="704" spans="1:7" ht="12.75">
      <c r="A704" s="783" t="s">
        <v>440</v>
      </c>
      <c r="B704" s="784"/>
      <c r="C704" s="784"/>
      <c r="D704" s="784"/>
      <c r="E704" s="784"/>
      <c r="F704" s="784"/>
      <c r="G704" s="440">
        <f>SUM(G698:G700)</f>
        <v>28.9478</v>
      </c>
    </row>
    <row r="705" spans="1:7" ht="12.75">
      <c r="A705" s="783" t="s">
        <v>441</v>
      </c>
      <c r="B705" s="784"/>
      <c r="C705" s="784"/>
      <c r="D705" s="784"/>
      <c r="E705" s="784"/>
      <c r="F705" s="784"/>
      <c r="G705" s="440">
        <f>SUM(G703:G704)</f>
        <v>43.6136</v>
      </c>
    </row>
    <row r="706" spans="1:7" ht="12.75">
      <c r="A706" s="783" t="s">
        <v>442</v>
      </c>
      <c r="B706" s="784"/>
      <c r="C706" s="784"/>
      <c r="D706" s="784"/>
      <c r="E706" s="784"/>
      <c r="F706" s="784"/>
      <c r="G706" s="440">
        <f>G703*85.16%</f>
        <v>12.489395279999998</v>
      </c>
    </row>
    <row r="707" spans="1:7" ht="12.75">
      <c r="A707" s="783" t="s">
        <v>443</v>
      </c>
      <c r="B707" s="784"/>
      <c r="C707" s="784"/>
      <c r="D707" s="784"/>
      <c r="E707" s="784"/>
      <c r="F707" s="784"/>
      <c r="G707" s="440">
        <f>G706</f>
        <v>12.489395279999998</v>
      </c>
    </row>
    <row r="708" spans="1:7" ht="12.75">
      <c r="A708" s="785" t="s">
        <v>444</v>
      </c>
      <c r="B708" s="786"/>
      <c r="C708" s="786"/>
      <c r="D708" s="786"/>
      <c r="E708" s="786"/>
      <c r="F708" s="787"/>
      <c r="G708" s="440">
        <f>G704</f>
        <v>28.9478</v>
      </c>
    </row>
    <row r="709" spans="1:7" ht="12.75">
      <c r="A709" s="785" t="s">
        <v>445</v>
      </c>
      <c r="B709" s="786"/>
      <c r="C709" s="786"/>
      <c r="D709" s="786"/>
      <c r="E709" s="786"/>
      <c r="F709" s="787"/>
      <c r="G709" s="440">
        <f>G703+G707</f>
        <v>27.155195279999997</v>
      </c>
    </row>
    <row r="710" spans="1:7" ht="12.75">
      <c r="A710" s="785" t="s">
        <v>446</v>
      </c>
      <c r="B710" s="786"/>
      <c r="C710" s="786"/>
      <c r="D710" s="786"/>
      <c r="E710" s="786"/>
      <c r="F710" s="787"/>
      <c r="G710" s="440">
        <f>SUM(G708:G709)</f>
        <v>56.10299528</v>
      </c>
    </row>
    <row r="711" spans="1:7" ht="12.75">
      <c r="A711" s="796"/>
      <c r="B711" s="797"/>
      <c r="C711" s="797"/>
      <c r="D711" s="797"/>
      <c r="E711" s="797"/>
      <c r="F711" s="797"/>
      <c r="G711" s="798"/>
    </row>
    <row r="712" spans="1:7" ht="12.75">
      <c r="A712" s="804"/>
      <c r="B712" s="805"/>
      <c r="C712" s="805"/>
      <c r="D712" s="805"/>
      <c r="E712" s="805"/>
      <c r="F712" s="805"/>
      <c r="G712" s="806"/>
    </row>
    <row r="713" spans="1:7" ht="12.75">
      <c r="A713" s="704" t="s">
        <v>1671</v>
      </c>
      <c r="B713" s="595"/>
      <c r="C713" s="595"/>
      <c r="D713" s="595"/>
      <c r="E713" s="595"/>
      <c r="F713" s="595"/>
      <c r="G713" s="596"/>
    </row>
    <row r="714" spans="1:7" ht="25.5">
      <c r="A714" s="171" t="s">
        <v>970</v>
      </c>
      <c r="B714" s="182" t="s">
        <v>971</v>
      </c>
      <c r="C714" s="172" t="s">
        <v>72</v>
      </c>
      <c r="D714" s="172" t="s">
        <v>82</v>
      </c>
      <c r="E714" s="373"/>
      <c r="F714" s="374"/>
      <c r="G714" s="375"/>
    </row>
    <row r="715" spans="1:7" ht="12.75">
      <c r="A715" s="173" t="s">
        <v>524</v>
      </c>
      <c r="B715" s="174" t="s">
        <v>525</v>
      </c>
      <c r="C715" s="175" t="s">
        <v>73</v>
      </c>
      <c r="D715" s="175" t="s">
        <v>424</v>
      </c>
      <c r="E715" s="434">
        <v>0.529</v>
      </c>
      <c r="F715" s="435">
        <v>0.47</v>
      </c>
      <c r="G715" s="436">
        <f>E715*F715</f>
        <v>0.24863</v>
      </c>
    </row>
    <row r="716" spans="1:7" ht="25.5">
      <c r="A716" s="173" t="s">
        <v>437</v>
      </c>
      <c r="B716" s="174" t="s">
        <v>438</v>
      </c>
      <c r="C716" s="175" t="s">
        <v>72</v>
      </c>
      <c r="D716" s="175" t="s">
        <v>77</v>
      </c>
      <c r="E716" s="434">
        <v>0.25</v>
      </c>
      <c r="F716" s="435">
        <v>12.64</v>
      </c>
      <c r="G716" s="436">
        <f>E716*F716</f>
        <v>3.16</v>
      </c>
    </row>
    <row r="717" spans="1:7" ht="12.75">
      <c r="A717" s="783" t="s">
        <v>439</v>
      </c>
      <c r="B717" s="784"/>
      <c r="C717" s="784"/>
      <c r="D717" s="784"/>
      <c r="E717" s="784"/>
      <c r="F717" s="784"/>
      <c r="G717" s="440">
        <f>SUM(G716)</f>
        <v>3.16</v>
      </c>
    </row>
    <row r="718" spans="1:7" ht="12.75">
      <c r="A718" s="783" t="s">
        <v>440</v>
      </c>
      <c r="B718" s="784"/>
      <c r="C718" s="784"/>
      <c r="D718" s="784"/>
      <c r="E718" s="784"/>
      <c r="F718" s="784"/>
      <c r="G718" s="440">
        <f>SUM(G715)</f>
        <v>0.24863</v>
      </c>
    </row>
    <row r="719" spans="1:7" ht="12.75">
      <c r="A719" s="783" t="s">
        <v>441</v>
      </c>
      <c r="B719" s="784"/>
      <c r="C719" s="784"/>
      <c r="D719" s="784"/>
      <c r="E719" s="784"/>
      <c r="F719" s="784"/>
      <c r="G719" s="440">
        <f>SUM(G717:G718)</f>
        <v>3.40863</v>
      </c>
    </row>
    <row r="720" spans="1:7" ht="12.75">
      <c r="A720" s="783" t="s">
        <v>442</v>
      </c>
      <c r="B720" s="784"/>
      <c r="C720" s="784"/>
      <c r="D720" s="784"/>
      <c r="E720" s="784"/>
      <c r="F720" s="784"/>
      <c r="G720" s="440">
        <f>G717*85.16%</f>
        <v>2.6910559999999997</v>
      </c>
    </row>
    <row r="721" spans="1:7" ht="12.75">
      <c r="A721" s="783" t="s">
        <v>443</v>
      </c>
      <c r="B721" s="784"/>
      <c r="C721" s="784"/>
      <c r="D721" s="784"/>
      <c r="E721" s="784"/>
      <c r="F721" s="784"/>
      <c r="G721" s="440">
        <f>G720</f>
        <v>2.6910559999999997</v>
      </c>
    </row>
    <row r="722" spans="1:7" ht="12.75">
      <c r="A722" s="785" t="s">
        <v>444</v>
      </c>
      <c r="B722" s="786"/>
      <c r="C722" s="786"/>
      <c r="D722" s="786"/>
      <c r="E722" s="786"/>
      <c r="F722" s="787"/>
      <c r="G722" s="440">
        <f>G718</f>
        <v>0.24863</v>
      </c>
    </row>
    <row r="723" spans="1:7" ht="12.75">
      <c r="A723" s="785" t="s">
        <v>445</v>
      </c>
      <c r="B723" s="786"/>
      <c r="C723" s="786"/>
      <c r="D723" s="786"/>
      <c r="E723" s="786"/>
      <c r="F723" s="787"/>
      <c r="G723" s="440">
        <f>G717+G721</f>
        <v>5.851056</v>
      </c>
    </row>
    <row r="724" spans="1:7" ht="12.75">
      <c r="A724" s="785" t="s">
        <v>446</v>
      </c>
      <c r="B724" s="786"/>
      <c r="C724" s="786"/>
      <c r="D724" s="786"/>
      <c r="E724" s="786"/>
      <c r="F724" s="787"/>
      <c r="G724" s="440">
        <f>SUM(G722:G723)</f>
        <v>6.099686</v>
      </c>
    </row>
    <row r="725" spans="1:7" ht="12.75">
      <c r="A725" s="796"/>
      <c r="B725" s="797"/>
      <c r="C725" s="797"/>
      <c r="D725" s="797"/>
      <c r="E725" s="797"/>
      <c r="F725" s="797"/>
      <c r="G725" s="798"/>
    </row>
    <row r="726" spans="1:7" ht="12.75">
      <c r="A726" s="491" t="s">
        <v>83</v>
      </c>
      <c r="B726" s="799" t="s">
        <v>1270</v>
      </c>
      <c r="C726" s="799"/>
      <c r="D726" s="799"/>
      <c r="E726" s="799"/>
      <c r="F726" s="799"/>
      <c r="G726" s="800"/>
    </row>
    <row r="727" spans="1:7" ht="12.75">
      <c r="A727" s="804"/>
      <c r="B727" s="805"/>
      <c r="C727" s="805"/>
      <c r="D727" s="805"/>
      <c r="E727" s="805"/>
      <c r="F727" s="805"/>
      <c r="G727" s="806"/>
    </row>
    <row r="728" spans="1:7" ht="12.75">
      <c r="A728" s="704" t="s">
        <v>1448</v>
      </c>
      <c r="B728" s="704" t="s">
        <v>1449</v>
      </c>
      <c r="C728" s="704"/>
      <c r="D728" s="704"/>
      <c r="E728" s="704"/>
      <c r="F728" s="704"/>
      <c r="G728" s="704"/>
    </row>
    <row r="729" spans="1:7" ht="12.75">
      <c r="A729" s="704" t="s">
        <v>1605</v>
      </c>
      <c r="B729" s="704" t="s">
        <v>1604</v>
      </c>
      <c r="C729" s="704"/>
      <c r="D729" s="704"/>
      <c r="E729" s="704"/>
      <c r="F729" s="704"/>
      <c r="G729" s="704"/>
    </row>
    <row r="730" spans="1:7" ht="12.75">
      <c r="A730" s="704" t="s">
        <v>1674</v>
      </c>
      <c r="B730" s="704"/>
      <c r="C730" s="704"/>
      <c r="D730" s="704"/>
      <c r="E730" s="704"/>
      <c r="F730" s="704"/>
      <c r="G730" s="704"/>
    </row>
    <row r="731" spans="1:7" ht="6.75" customHeight="1">
      <c r="A731" s="804"/>
      <c r="B731" s="805"/>
      <c r="C731" s="805"/>
      <c r="D731" s="805"/>
      <c r="E731" s="805"/>
      <c r="F731" s="805"/>
      <c r="G731" s="806"/>
    </row>
    <row r="732" spans="1:7" ht="38.25">
      <c r="A732" s="499" t="s">
        <v>1301</v>
      </c>
      <c r="B732" s="182" t="s">
        <v>368</v>
      </c>
      <c r="C732" s="172" t="s">
        <v>72</v>
      </c>
      <c r="D732" s="172" t="s">
        <v>82</v>
      </c>
      <c r="E732" s="373"/>
      <c r="F732" s="374"/>
      <c r="G732" s="375"/>
    </row>
    <row r="733" spans="1:7" ht="12.75">
      <c r="A733" s="173" t="s">
        <v>583</v>
      </c>
      <c r="B733" s="174" t="s">
        <v>584</v>
      </c>
      <c r="C733" s="175" t="s">
        <v>73</v>
      </c>
      <c r="D733" s="175" t="s">
        <v>75</v>
      </c>
      <c r="E733" s="434">
        <v>0.5</v>
      </c>
      <c r="F733" s="435">
        <v>1.52</v>
      </c>
      <c r="G733" s="436">
        <f>E733*F733</f>
        <v>0.76</v>
      </c>
    </row>
    <row r="734" spans="1:7" ht="25.5">
      <c r="A734" s="173" t="s">
        <v>1301</v>
      </c>
      <c r="B734" s="174" t="s">
        <v>1300</v>
      </c>
      <c r="C734" s="175" t="s">
        <v>73</v>
      </c>
      <c r="D734" s="175" t="s">
        <v>85</v>
      </c>
      <c r="E734" s="434">
        <v>0.47</v>
      </c>
      <c r="F734" s="435">
        <v>1.5555555555555556</v>
      </c>
      <c r="G734" s="436">
        <f>E734*F734</f>
        <v>0.731111111111111</v>
      </c>
    </row>
    <row r="735" spans="1:7" ht="25.5">
      <c r="A735" s="173" t="s">
        <v>435</v>
      </c>
      <c r="B735" s="174" t="s">
        <v>436</v>
      </c>
      <c r="C735" s="175" t="s">
        <v>72</v>
      </c>
      <c r="D735" s="175" t="s">
        <v>77</v>
      </c>
      <c r="E735" s="434">
        <v>0.35</v>
      </c>
      <c r="F735" s="435">
        <v>15.09</v>
      </c>
      <c r="G735" s="436">
        <f>E735*F735</f>
        <v>5.281499999999999</v>
      </c>
    </row>
    <row r="736" spans="1:7" ht="25.5">
      <c r="A736" s="173" t="s">
        <v>437</v>
      </c>
      <c r="B736" s="174" t="s">
        <v>438</v>
      </c>
      <c r="C736" s="175" t="s">
        <v>72</v>
      </c>
      <c r="D736" s="175" t="s">
        <v>77</v>
      </c>
      <c r="E736" s="434">
        <v>0.25</v>
      </c>
      <c r="F736" s="435">
        <v>12.64</v>
      </c>
      <c r="G736" s="436">
        <f>E736*F736</f>
        <v>3.16</v>
      </c>
    </row>
    <row r="737" spans="1:7" ht="12.75">
      <c r="A737" s="783" t="s">
        <v>439</v>
      </c>
      <c r="B737" s="784"/>
      <c r="C737" s="784"/>
      <c r="D737" s="784"/>
      <c r="E737" s="784"/>
      <c r="F737" s="784"/>
      <c r="G737" s="440">
        <f>SUM(G735:G736)</f>
        <v>8.4415</v>
      </c>
    </row>
    <row r="738" spans="1:7" ht="12.75">
      <c r="A738" s="783" t="s">
        <v>440</v>
      </c>
      <c r="B738" s="784"/>
      <c r="C738" s="784"/>
      <c r="D738" s="784"/>
      <c r="E738" s="784"/>
      <c r="F738" s="784"/>
      <c r="G738" s="440">
        <f>SUM(G733:G734)</f>
        <v>1.491111111111111</v>
      </c>
    </row>
    <row r="739" spans="1:7" ht="12.75">
      <c r="A739" s="783" t="s">
        <v>441</v>
      </c>
      <c r="B739" s="784"/>
      <c r="C739" s="784"/>
      <c r="D739" s="784"/>
      <c r="E739" s="784"/>
      <c r="F739" s="784"/>
      <c r="G739" s="440">
        <f>SUM(G737:G738)</f>
        <v>9.932611111111111</v>
      </c>
    </row>
    <row r="740" spans="1:7" ht="12.75">
      <c r="A740" s="783" t="s">
        <v>442</v>
      </c>
      <c r="B740" s="784"/>
      <c r="C740" s="784"/>
      <c r="D740" s="784"/>
      <c r="E740" s="784"/>
      <c r="F740" s="784"/>
      <c r="G740" s="440">
        <f>G737*85.16%</f>
        <v>7.188781399999999</v>
      </c>
    </row>
    <row r="741" spans="1:7" ht="12.75">
      <c r="A741" s="783" t="s">
        <v>443</v>
      </c>
      <c r="B741" s="784"/>
      <c r="C741" s="784"/>
      <c r="D741" s="784"/>
      <c r="E741" s="784"/>
      <c r="F741" s="784"/>
      <c r="G741" s="440">
        <f>G740</f>
        <v>7.188781399999999</v>
      </c>
    </row>
    <row r="742" spans="1:7" ht="12.75">
      <c r="A742" s="785" t="s">
        <v>444</v>
      </c>
      <c r="B742" s="786"/>
      <c r="C742" s="786"/>
      <c r="D742" s="786"/>
      <c r="E742" s="786"/>
      <c r="F742" s="787"/>
      <c r="G742" s="440">
        <f>G738</f>
        <v>1.491111111111111</v>
      </c>
    </row>
    <row r="743" spans="1:7" ht="12.75">
      <c r="A743" s="785" t="s">
        <v>445</v>
      </c>
      <c r="B743" s="786"/>
      <c r="C743" s="786"/>
      <c r="D743" s="786"/>
      <c r="E743" s="786"/>
      <c r="F743" s="787"/>
      <c r="G743" s="440">
        <f>G737+G741</f>
        <v>15.630281399999998</v>
      </c>
    </row>
    <row r="744" spans="1:7" ht="12.75">
      <c r="A744" s="785" t="s">
        <v>446</v>
      </c>
      <c r="B744" s="786"/>
      <c r="C744" s="786"/>
      <c r="D744" s="786"/>
      <c r="E744" s="786"/>
      <c r="F744" s="787"/>
      <c r="G744" s="440">
        <f>SUM(G742:G743)</f>
        <v>17.121392511111107</v>
      </c>
    </row>
    <row r="745" spans="1:7" ht="12.75">
      <c r="A745" s="796"/>
      <c r="B745" s="797"/>
      <c r="C745" s="797"/>
      <c r="D745" s="797"/>
      <c r="E745" s="797"/>
      <c r="F745" s="797"/>
      <c r="G745" s="798"/>
    </row>
    <row r="746" spans="1:7" ht="12.75">
      <c r="A746" s="491" t="s">
        <v>83</v>
      </c>
      <c r="B746" s="799" t="s">
        <v>1271</v>
      </c>
      <c r="C746" s="799"/>
      <c r="D746" s="799"/>
      <c r="E746" s="799"/>
      <c r="F746" s="799"/>
      <c r="G746" s="800"/>
    </row>
    <row r="747" spans="1:7" ht="12.75">
      <c r="A747" s="804"/>
      <c r="B747" s="805"/>
      <c r="C747" s="805"/>
      <c r="D747" s="805"/>
      <c r="E747" s="805"/>
      <c r="F747" s="805"/>
      <c r="G747" s="806"/>
    </row>
    <row r="748" spans="1:7" ht="12.75">
      <c r="A748" s="704" t="s">
        <v>1675</v>
      </c>
      <c r="B748" s="595"/>
      <c r="C748" s="595"/>
      <c r="D748" s="595"/>
      <c r="E748" s="595"/>
      <c r="F748" s="595"/>
      <c r="G748" s="596"/>
    </row>
    <row r="749" spans="1:7" ht="38.25">
      <c r="A749" s="176" t="s">
        <v>988</v>
      </c>
      <c r="B749" s="182" t="s">
        <v>164</v>
      </c>
      <c r="C749" s="172" t="s">
        <v>72</v>
      </c>
      <c r="D749" s="172" t="s">
        <v>82</v>
      </c>
      <c r="E749" s="373"/>
      <c r="F749" s="374"/>
      <c r="G749" s="375"/>
    </row>
    <row r="750" spans="1:7" ht="12.75">
      <c r="A750" s="173" t="s">
        <v>583</v>
      </c>
      <c r="B750" s="174" t="s">
        <v>584</v>
      </c>
      <c r="C750" s="175" t="s">
        <v>73</v>
      </c>
      <c r="D750" s="175" t="s">
        <v>75</v>
      </c>
      <c r="E750" s="434">
        <v>0.4</v>
      </c>
      <c r="F750" s="435">
        <v>1.52</v>
      </c>
      <c r="G750" s="436">
        <f>E750*F750</f>
        <v>0.6080000000000001</v>
      </c>
    </row>
    <row r="751" spans="1:7" ht="25.5">
      <c r="A751" s="173" t="s">
        <v>988</v>
      </c>
      <c r="B751" s="174" t="s">
        <v>989</v>
      </c>
      <c r="C751" s="175" t="s">
        <v>73</v>
      </c>
      <c r="D751" s="175" t="s">
        <v>85</v>
      </c>
      <c r="E751" s="434">
        <v>0.47</v>
      </c>
      <c r="F751" s="435">
        <v>3.88</v>
      </c>
      <c r="G751" s="436">
        <f>E751*F751</f>
        <v>1.8235999999999999</v>
      </c>
    </row>
    <row r="752" spans="1:7" ht="25.5">
      <c r="A752" s="173" t="s">
        <v>435</v>
      </c>
      <c r="B752" s="174" t="s">
        <v>436</v>
      </c>
      <c r="C752" s="175" t="s">
        <v>72</v>
      </c>
      <c r="D752" s="175" t="s">
        <v>77</v>
      </c>
      <c r="E752" s="434">
        <v>0.3</v>
      </c>
      <c r="F752" s="435">
        <v>15.09</v>
      </c>
      <c r="G752" s="436">
        <f>E752*F752</f>
        <v>4.527</v>
      </c>
    </row>
    <row r="753" spans="1:7" ht="25.5">
      <c r="A753" s="173" t="s">
        <v>437</v>
      </c>
      <c r="B753" s="174" t="s">
        <v>438</v>
      </c>
      <c r="C753" s="175" t="s">
        <v>72</v>
      </c>
      <c r="D753" s="175" t="s">
        <v>77</v>
      </c>
      <c r="E753" s="434">
        <v>0.2</v>
      </c>
      <c r="F753" s="435">
        <v>12.64</v>
      </c>
      <c r="G753" s="436">
        <f>E753*F753</f>
        <v>2.5280000000000005</v>
      </c>
    </row>
    <row r="754" spans="1:7" ht="12.75">
      <c r="A754" s="783" t="s">
        <v>439</v>
      </c>
      <c r="B754" s="784"/>
      <c r="C754" s="784"/>
      <c r="D754" s="784"/>
      <c r="E754" s="784"/>
      <c r="F754" s="784"/>
      <c r="G754" s="440">
        <f>SUM(G752:G753)</f>
        <v>7.055000000000001</v>
      </c>
    </row>
    <row r="755" spans="1:7" ht="12.75">
      <c r="A755" s="783" t="s">
        <v>440</v>
      </c>
      <c r="B755" s="784"/>
      <c r="C755" s="784"/>
      <c r="D755" s="784"/>
      <c r="E755" s="784"/>
      <c r="F755" s="784"/>
      <c r="G755" s="440">
        <f>SUM(G750:G751)</f>
        <v>2.4316</v>
      </c>
    </row>
    <row r="756" spans="1:7" ht="12.75">
      <c r="A756" s="783" t="s">
        <v>441</v>
      </c>
      <c r="B756" s="784"/>
      <c r="C756" s="784"/>
      <c r="D756" s="784"/>
      <c r="E756" s="784"/>
      <c r="F756" s="784"/>
      <c r="G756" s="440">
        <f>SUM(G754:G755)</f>
        <v>9.486600000000001</v>
      </c>
    </row>
    <row r="757" spans="1:7" ht="12.75">
      <c r="A757" s="783" t="s">
        <v>442</v>
      </c>
      <c r="B757" s="784"/>
      <c r="C757" s="784"/>
      <c r="D757" s="784"/>
      <c r="E757" s="784"/>
      <c r="F757" s="784"/>
      <c r="G757" s="440">
        <f>G754*85.16%</f>
        <v>6.008038</v>
      </c>
    </row>
    <row r="758" spans="1:7" ht="12.75">
      <c r="A758" s="783" t="s">
        <v>443</v>
      </c>
      <c r="B758" s="784"/>
      <c r="C758" s="784"/>
      <c r="D758" s="784"/>
      <c r="E758" s="784"/>
      <c r="F758" s="784"/>
      <c r="G758" s="440">
        <f>G757</f>
        <v>6.008038</v>
      </c>
    </row>
    <row r="759" spans="1:7" ht="12.75">
      <c r="A759" s="785" t="s">
        <v>444</v>
      </c>
      <c r="B759" s="786"/>
      <c r="C759" s="786"/>
      <c r="D759" s="786"/>
      <c r="E759" s="786"/>
      <c r="F759" s="787"/>
      <c r="G759" s="440">
        <f>G755</f>
        <v>2.4316</v>
      </c>
    </row>
    <row r="760" spans="1:7" ht="12.75">
      <c r="A760" s="785" t="s">
        <v>445</v>
      </c>
      <c r="B760" s="786"/>
      <c r="C760" s="786"/>
      <c r="D760" s="786"/>
      <c r="E760" s="786"/>
      <c r="F760" s="787"/>
      <c r="G760" s="440">
        <f>G754+G758</f>
        <v>13.063038</v>
      </c>
    </row>
    <row r="761" spans="1:7" ht="12.75">
      <c r="A761" s="785" t="s">
        <v>446</v>
      </c>
      <c r="B761" s="786"/>
      <c r="C761" s="786"/>
      <c r="D761" s="786"/>
      <c r="E761" s="786"/>
      <c r="F761" s="787"/>
      <c r="G761" s="440">
        <f>SUM(G759:G760)</f>
        <v>15.494638</v>
      </c>
    </row>
    <row r="762" spans="1:7" ht="12.75">
      <c r="A762" s="796"/>
      <c r="B762" s="797"/>
      <c r="C762" s="797"/>
      <c r="D762" s="797"/>
      <c r="E762" s="797"/>
      <c r="F762" s="797"/>
      <c r="G762" s="798"/>
    </row>
    <row r="763" spans="1:7" ht="12.75">
      <c r="A763" s="491" t="s">
        <v>83</v>
      </c>
      <c r="B763" s="799" t="s">
        <v>1272</v>
      </c>
      <c r="C763" s="799"/>
      <c r="D763" s="799"/>
      <c r="E763" s="799"/>
      <c r="F763" s="799"/>
      <c r="G763" s="800"/>
    </row>
    <row r="764" spans="1:7" ht="12.75">
      <c r="A764" s="804"/>
      <c r="B764" s="805"/>
      <c r="C764" s="805"/>
      <c r="D764" s="805"/>
      <c r="E764" s="805"/>
      <c r="F764" s="805"/>
      <c r="G764" s="806"/>
    </row>
    <row r="765" spans="1:7" ht="12.75">
      <c r="A765" s="594"/>
      <c r="B765" s="595"/>
      <c r="C765" s="595"/>
      <c r="D765" s="595"/>
      <c r="E765" s="595"/>
      <c r="F765" s="595"/>
      <c r="G765" s="596"/>
    </row>
    <row r="766" spans="1:7" ht="12.75">
      <c r="A766" s="704" t="s">
        <v>1680</v>
      </c>
      <c r="B766" s="704" t="s">
        <v>1681</v>
      </c>
      <c r="C766" s="595"/>
      <c r="D766" s="595"/>
      <c r="E766" s="595"/>
      <c r="F766" s="595"/>
      <c r="G766" s="596"/>
    </row>
    <row r="767" spans="1:7" ht="12.75">
      <c r="A767" s="704" t="s">
        <v>1682</v>
      </c>
      <c r="B767" s="704"/>
      <c r="C767" s="595"/>
      <c r="D767" s="595"/>
      <c r="E767" s="595"/>
      <c r="F767" s="595"/>
      <c r="G767" s="596"/>
    </row>
    <row r="768" spans="1:7" ht="38.25">
      <c r="A768" s="171" t="s">
        <v>972</v>
      </c>
      <c r="B768" s="182" t="s">
        <v>973</v>
      </c>
      <c r="C768" s="172" t="s">
        <v>72</v>
      </c>
      <c r="D768" s="172" t="s">
        <v>82</v>
      </c>
      <c r="E768" s="373"/>
      <c r="F768" s="374"/>
      <c r="G768" s="375"/>
    </row>
    <row r="769" spans="1:7" ht="12.75">
      <c r="A769" s="173" t="s">
        <v>974</v>
      </c>
      <c r="B769" s="174" t="s">
        <v>975</v>
      </c>
      <c r="C769" s="175" t="s">
        <v>73</v>
      </c>
      <c r="D769" s="175" t="s">
        <v>85</v>
      </c>
      <c r="E769" s="434">
        <v>0.16</v>
      </c>
      <c r="F769" s="435">
        <v>13.09</v>
      </c>
      <c r="G769" s="436">
        <f>E769*F769</f>
        <v>2.0944</v>
      </c>
    </row>
    <row r="770" spans="1:7" ht="25.5">
      <c r="A770" s="173" t="s">
        <v>435</v>
      </c>
      <c r="B770" s="174" t="s">
        <v>436</v>
      </c>
      <c r="C770" s="175" t="s">
        <v>72</v>
      </c>
      <c r="D770" s="175" t="s">
        <v>77</v>
      </c>
      <c r="E770" s="434">
        <v>0.027</v>
      </c>
      <c r="F770" s="435">
        <v>15.09</v>
      </c>
      <c r="G770" s="436">
        <f>E770*F770</f>
        <v>0.40743</v>
      </c>
    </row>
    <row r="771" spans="1:7" ht="25.5">
      <c r="A771" s="173" t="s">
        <v>437</v>
      </c>
      <c r="B771" s="174" t="s">
        <v>438</v>
      </c>
      <c r="C771" s="175" t="s">
        <v>72</v>
      </c>
      <c r="D771" s="175" t="s">
        <v>77</v>
      </c>
      <c r="E771" s="434">
        <v>0.01</v>
      </c>
      <c r="F771" s="435">
        <v>12.64</v>
      </c>
      <c r="G771" s="436">
        <f>E771*F771</f>
        <v>0.1264</v>
      </c>
    </row>
    <row r="772" spans="1:7" ht="12.75">
      <c r="A772" s="783" t="s">
        <v>439</v>
      </c>
      <c r="B772" s="784"/>
      <c r="C772" s="784"/>
      <c r="D772" s="784"/>
      <c r="E772" s="784"/>
      <c r="F772" s="784"/>
      <c r="G772" s="440">
        <f>SUM(G770:G771)</f>
        <v>0.53383</v>
      </c>
    </row>
    <row r="773" spans="1:7" ht="12.75">
      <c r="A773" s="783" t="s">
        <v>440</v>
      </c>
      <c r="B773" s="784"/>
      <c r="C773" s="784"/>
      <c r="D773" s="784"/>
      <c r="E773" s="784"/>
      <c r="F773" s="784"/>
      <c r="G773" s="440">
        <f>SUM(G769)</f>
        <v>2.0944</v>
      </c>
    </row>
    <row r="774" spans="1:7" ht="12.75">
      <c r="A774" s="783" t="s">
        <v>441</v>
      </c>
      <c r="B774" s="784"/>
      <c r="C774" s="784"/>
      <c r="D774" s="784"/>
      <c r="E774" s="784"/>
      <c r="F774" s="784"/>
      <c r="G774" s="440">
        <f>SUM(G772:G773)</f>
        <v>2.62823</v>
      </c>
    </row>
    <row r="775" spans="1:7" ht="12.75">
      <c r="A775" s="783" t="s">
        <v>442</v>
      </c>
      <c r="B775" s="784"/>
      <c r="C775" s="784"/>
      <c r="D775" s="784"/>
      <c r="E775" s="784"/>
      <c r="F775" s="784"/>
      <c r="G775" s="440">
        <f>G772*85.16%</f>
        <v>0.454609628</v>
      </c>
    </row>
    <row r="776" spans="1:7" ht="12.75">
      <c r="A776" s="783" t="s">
        <v>443</v>
      </c>
      <c r="B776" s="784"/>
      <c r="C776" s="784"/>
      <c r="D776" s="784"/>
      <c r="E776" s="784"/>
      <c r="F776" s="784"/>
      <c r="G776" s="440">
        <f>G775</f>
        <v>0.454609628</v>
      </c>
    </row>
    <row r="777" spans="1:7" ht="12.75">
      <c r="A777" s="785" t="s">
        <v>444</v>
      </c>
      <c r="B777" s="786"/>
      <c r="C777" s="786"/>
      <c r="D777" s="786"/>
      <c r="E777" s="786"/>
      <c r="F777" s="787"/>
      <c r="G777" s="440">
        <f>G773</f>
        <v>2.0944</v>
      </c>
    </row>
    <row r="778" spans="1:7" ht="12.75">
      <c r="A778" s="785" t="s">
        <v>445</v>
      </c>
      <c r="B778" s="786"/>
      <c r="C778" s="786"/>
      <c r="D778" s="786"/>
      <c r="E778" s="786"/>
      <c r="F778" s="787"/>
      <c r="G778" s="440">
        <f>G772+G776</f>
        <v>0.9884396280000001</v>
      </c>
    </row>
    <row r="779" spans="1:7" ht="12.75">
      <c r="A779" s="785" t="s">
        <v>446</v>
      </c>
      <c r="B779" s="786"/>
      <c r="C779" s="786"/>
      <c r="D779" s="786"/>
      <c r="E779" s="786"/>
      <c r="F779" s="787"/>
      <c r="G779" s="440">
        <f>SUM(G777:G778)</f>
        <v>3.082839628</v>
      </c>
    </row>
    <row r="780" spans="1:7" ht="12.75">
      <c r="A780" s="796"/>
      <c r="B780" s="797"/>
      <c r="C780" s="797"/>
      <c r="D780" s="797"/>
      <c r="E780" s="797"/>
      <c r="F780" s="797"/>
      <c r="G780" s="798"/>
    </row>
    <row r="781" spans="1:7" ht="12.75">
      <c r="A781" s="804"/>
      <c r="B781" s="805"/>
      <c r="C781" s="805"/>
      <c r="D781" s="805"/>
      <c r="E781" s="805"/>
      <c r="F781" s="805"/>
      <c r="G781" s="806"/>
    </row>
    <row r="782" spans="1:7" ht="12.75">
      <c r="A782" s="704" t="s">
        <v>1682</v>
      </c>
      <c r="B782" s="595"/>
      <c r="C782" s="595"/>
      <c r="D782" s="595"/>
      <c r="E782" s="595"/>
      <c r="F782" s="595"/>
      <c r="G782" s="596"/>
    </row>
    <row r="783" spans="1:7" ht="38.25">
      <c r="A783" s="171" t="s">
        <v>976</v>
      </c>
      <c r="B783" s="182" t="s">
        <v>977</v>
      </c>
      <c r="C783" s="172" t="s">
        <v>72</v>
      </c>
      <c r="D783" s="172" t="s">
        <v>82</v>
      </c>
      <c r="E783" s="373"/>
      <c r="F783" s="374"/>
      <c r="G783" s="375"/>
    </row>
    <row r="784" spans="1:7" ht="25.5">
      <c r="A784" s="173" t="s">
        <v>978</v>
      </c>
      <c r="B784" s="174" t="s">
        <v>979</v>
      </c>
      <c r="C784" s="175" t="s">
        <v>73</v>
      </c>
      <c r="D784" s="175" t="s">
        <v>85</v>
      </c>
      <c r="E784" s="434">
        <v>0.16</v>
      </c>
      <c r="F784" s="435">
        <v>6.89</v>
      </c>
      <c r="G784" s="436">
        <f>E784*F784</f>
        <v>1.1024</v>
      </c>
    </row>
    <row r="785" spans="1:7" ht="25.5">
      <c r="A785" s="173" t="s">
        <v>435</v>
      </c>
      <c r="B785" s="174" t="s">
        <v>436</v>
      </c>
      <c r="C785" s="175" t="s">
        <v>72</v>
      </c>
      <c r="D785" s="175" t="s">
        <v>77</v>
      </c>
      <c r="E785" s="434">
        <v>0.039</v>
      </c>
      <c r="F785" s="435">
        <v>15.09</v>
      </c>
      <c r="G785" s="436">
        <f>E785*F785</f>
        <v>0.58851</v>
      </c>
    </row>
    <row r="786" spans="1:7" ht="25.5">
      <c r="A786" s="173" t="s">
        <v>437</v>
      </c>
      <c r="B786" s="174" t="s">
        <v>438</v>
      </c>
      <c r="C786" s="175" t="s">
        <v>72</v>
      </c>
      <c r="D786" s="175" t="s">
        <v>77</v>
      </c>
      <c r="E786" s="434">
        <v>0.014</v>
      </c>
      <c r="F786" s="435">
        <v>12.64</v>
      </c>
      <c r="G786" s="436">
        <f>E786*F786</f>
        <v>0.17696</v>
      </c>
    </row>
    <row r="787" spans="1:7" ht="12.75">
      <c r="A787" s="783" t="s">
        <v>439</v>
      </c>
      <c r="B787" s="784"/>
      <c r="C787" s="784"/>
      <c r="D787" s="784"/>
      <c r="E787" s="784"/>
      <c r="F787" s="784"/>
      <c r="G787" s="440">
        <f>SUM(G785:G786)</f>
        <v>0.76547</v>
      </c>
    </row>
    <row r="788" spans="1:7" ht="12.75">
      <c r="A788" s="783" t="s">
        <v>440</v>
      </c>
      <c r="B788" s="784"/>
      <c r="C788" s="784"/>
      <c r="D788" s="784"/>
      <c r="E788" s="784"/>
      <c r="F788" s="784"/>
      <c r="G788" s="440">
        <f>SUM(G784)</f>
        <v>1.1024</v>
      </c>
    </row>
    <row r="789" spans="1:7" ht="12.75">
      <c r="A789" s="783" t="s">
        <v>441</v>
      </c>
      <c r="B789" s="784"/>
      <c r="C789" s="784"/>
      <c r="D789" s="784"/>
      <c r="E789" s="784"/>
      <c r="F789" s="784"/>
      <c r="G789" s="440">
        <f>SUM(G787:G788)</f>
        <v>1.86787</v>
      </c>
    </row>
    <row r="790" spans="1:7" ht="12.75">
      <c r="A790" s="783" t="s">
        <v>442</v>
      </c>
      <c r="B790" s="784"/>
      <c r="C790" s="784"/>
      <c r="D790" s="784"/>
      <c r="E790" s="784"/>
      <c r="F790" s="784"/>
      <c r="G790" s="440">
        <f>G787*85.16%</f>
        <v>0.6518742519999999</v>
      </c>
    </row>
    <row r="791" spans="1:7" ht="12.75">
      <c r="A791" s="783" t="s">
        <v>443</v>
      </c>
      <c r="B791" s="784"/>
      <c r="C791" s="784"/>
      <c r="D791" s="784"/>
      <c r="E791" s="784"/>
      <c r="F791" s="784"/>
      <c r="G791" s="440">
        <f>G790</f>
        <v>0.6518742519999999</v>
      </c>
    </row>
    <row r="792" spans="1:7" ht="12.75">
      <c r="A792" s="785" t="s">
        <v>444</v>
      </c>
      <c r="B792" s="786"/>
      <c r="C792" s="786"/>
      <c r="D792" s="786"/>
      <c r="E792" s="786"/>
      <c r="F792" s="787"/>
      <c r="G792" s="440">
        <f>G788</f>
        <v>1.1024</v>
      </c>
    </row>
    <row r="793" spans="1:7" ht="12.75">
      <c r="A793" s="785" t="s">
        <v>445</v>
      </c>
      <c r="B793" s="786"/>
      <c r="C793" s="786"/>
      <c r="D793" s="786"/>
      <c r="E793" s="786"/>
      <c r="F793" s="787"/>
      <c r="G793" s="440">
        <f>G787+G791</f>
        <v>1.417344252</v>
      </c>
    </row>
    <row r="794" spans="1:7" ht="12.75">
      <c r="A794" s="785" t="s">
        <v>446</v>
      </c>
      <c r="B794" s="786"/>
      <c r="C794" s="786"/>
      <c r="D794" s="786"/>
      <c r="E794" s="786"/>
      <c r="F794" s="787"/>
      <c r="G794" s="440">
        <f>SUM(G792:G793)</f>
        <v>2.5197442519999997</v>
      </c>
    </row>
    <row r="795" spans="1:7" ht="12.75">
      <c r="A795" s="796"/>
      <c r="B795" s="797"/>
      <c r="C795" s="797"/>
      <c r="D795" s="797"/>
      <c r="E795" s="797"/>
      <c r="F795" s="797"/>
      <c r="G795" s="798"/>
    </row>
    <row r="796" spans="1:7" ht="12.75">
      <c r="A796" s="804"/>
      <c r="B796" s="805"/>
      <c r="C796" s="805"/>
      <c r="D796" s="805"/>
      <c r="E796" s="805"/>
      <c r="F796" s="805"/>
      <c r="G796" s="806"/>
    </row>
    <row r="797" spans="1:7" ht="12.75">
      <c r="A797" s="594"/>
      <c r="B797" s="595"/>
      <c r="C797" s="595"/>
      <c r="D797" s="595"/>
      <c r="E797" s="595"/>
      <c r="F797" s="595"/>
      <c r="G797" s="596"/>
    </row>
    <row r="798" spans="1:7" ht="12.75">
      <c r="A798" s="704" t="s">
        <v>1462</v>
      </c>
      <c r="B798" s="704" t="s">
        <v>1816</v>
      </c>
      <c r="C798" s="595"/>
      <c r="D798" s="595"/>
      <c r="E798" s="595"/>
      <c r="F798" s="595"/>
      <c r="G798" s="596"/>
    </row>
    <row r="799" spans="1:7" ht="12.75">
      <c r="A799" s="704" t="s">
        <v>1817</v>
      </c>
      <c r="B799" s="704"/>
      <c r="C799" s="595"/>
      <c r="D799" s="595"/>
      <c r="E799" s="595"/>
      <c r="F799" s="595"/>
      <c r="G799" s="596"/>
    </row>
    <row r="800" spans="1:7" ht="25.5">
      <c r="A800" s="171" t="s">
        <v>902</v>
      </c>
      <c r="B800" s="182" t="s">
        <v>903</v>
      </c>
      <c r="C800" s="172" t="s">
        <v>72</v>
      </c>
      <c r="D800" s="172" t="s">
        <v>82</v>
      </c>
      <c r="E800" s="373"/>
      <c r="F800" s="374"/>
      <c r="G800" s="375"/>
    </row>
    <row r="801" spans="1:7" ht="51">
      <c r="A801" s="173" t="s">
        <v>904</v>
      </c>
      <c r="B801" s="174" t="s">
        <v>905</v>
      </c>
      <c r="C801" s="175" t="s">
        <v>73</v>
      </c>
      <c r="D801" s="175" t="s">
        <v>75</v>
      </c>
      <c r="E801" s="434">
        <v>2.5E-05</v>
      </c>
      <c r="F801" s="435">
        <v>1929</v>
      </c>
      <c r="G801" s="436">
        <f>E801*F801</f>
        <v>0.048225000000000004</v>
      </c>
    </row>
    <row r="802" spans="1:7" ht="25.5">
      <c r="A802" s="173" t="s">
        <v>437</v>
      </c>
      <c r="B802" s="174" t="s">
        <v>438</v>
      </c>
      <c r="C802" s="175" t="s">
        <v>72</v>
      </c>
      <c r="D802" s="175" t="s">
        <v>77</v>
      </c>
      <c r="E802" s="434">
        <v>0.1</v>
      </c>
      <c r="F802" s="435">
        <v>12.64</v>
      </c>
      <c r="G802" s="436">
        <f>E802*F802</f>
        <v>1.2640000000000002</v>
      </c>
    </row>
    <row r="803" spans="1:7" ht="12.75">
      <c r="A803" s="783" t="s">
        <v>439</v>
      </c>
      <c r="B803" s="784"/>
      <c r="C803" s="784"/>
      <c r="D803" s="784"/>
      <c r="E803" s="784"/>
      <c r="F803" s="784"/>
      <c r="G803" s="440">
        <f>SUM(G802)</f>
        <v>1.2640000000000002</v>
      </c>
    </row>
    <row r="804" spans="1:7" ht="12.75">
      <c r="A804" s="783" t="s">
        <v>440</v>
      </c>
      <c r="B804" s="784"/>
      <c r="C804" s="784"/>
      <c r="D804" s="784"/>
      <c r="E804" s="784"/>
      <c r="F804" s="784"/>
      <c r="G804" s="440">
        <f>SUM(G801)</f>
        <v>0.048225000000000004</v>
      </c>
    </row>
    <row r="805" spans="1:7" ht="12.75">
      <c r="A805" s="783" t="s">
        <v>441</v>
      </c>
      <c r="B805" s="784"/>
      <c r="C805" s="784"/>
      <c r="D805" s="784"/>
      <c r="E805" s="784"/>
      <c r="F805" s="784"/>
      <c r="G805" s="440">
        <f>SUM(G803:G804)</f>
        <v>1.3122250000000002</v>
      </c>
    </row>
    <row r="806" spans="1:7" ht="12.75">
      <c r="A806" s="783" t="s">
        <v>442</v>
      </c>
      <c r="B806" s="784"/>
      <c r="C806" s="784"/>
      <c r="D806" s="784"/>
      <c r="E806" s="784"/>
      <c r="F806" s="784"/>
      <c r="G806" s="440">
        <f>G803*85.16%</f>
        <v>1.0764224</v>
      </c>
    </row>
    <row r="807" spans="1:7" ht="12.75">
      <c r="A807" s="783" t="s">
        <v>443</v>
      </c>
      <c r="B807" s="784"/>
      <c r="C807" s="784"/>
      <c r="D807" s="784"/>
      <c r="E807" s="784"/>
      <c r="F807" s="784"/>
      <c r="G807" s="440">
        <f>G806</f>
        <v>1.0764224</v>
      </c>
    </row>
    <row r="808" spans="1:7" ht="12.75">
      <c r="A808" s="785" t="s">
        <v>444</v>
      </c>
      <c r="B808" s="786"/>
      <c r="C808" s="786"/>
      <c r="D808" s="786"/>
      <c r="E808" s="786"/>
      <c r="F808" s="787"/>
      <c r="G808" s="440">
        <f>G804</f>
        <v>0.048225000000000004</v>
      </c>
    </row>
    <row r="809" spans="1:7" ht="12.75">
      <c r="A809" s="785" t="s">
        <v>445</v>
      </c>
      <c r="B809" s="786"/>
      <c r="C809" s="786"/>
      <c r="D809" s="786"/>
      <c r="E809" s="786"/>
      <c r="F809" s="787"/>
      <c r="G809" s="440">
        <f>G803+G807</f>
        <v>2.3404224000000005</v>
      </c>
    </row>
    <row r="810" spans="1:7" ht="12.75">
      <c r="A810" s="785" t="s">
        <v>446</v>
      </c>
      <c r="B810" s="786"/>
      <c r="C810" s="786"/>
      <c r="D810" s="786"/>
      <c r="E810" s="786"/>
      <c r="F810" s="787"/>
      <c r="G810" s="440">
        <f>SUM(G808:G809)</f>
        <v>2.3886474000000004</v>
      </c>
    </row>
    <row r="811" spans="1:7" ht="12.75">
      <c r="A811" s="796"/>
      <c r="B811" s="797"/>
      <c r="C811" s="797"/>
      <c r="D811" s="797"/>
      <c r="E811" s="797"/>
      <c r="F811" s="797"/>
      <c r="G811" s="798"/>
    </row>
    <row r="812" spans="1:7" ht="12.75">
      <c r="A812" s="804"/>
      <c r="B812" s="805"/>
      <c r="C812" s="805"/>
      <c r="D812" s="805"/>
      <c r="E812" s="805"/>
      <c r="F812" s="805"/>
      <c r="G812" s="806"/>
    </row>
    <row r="813" spans="1:7" ht="12.75">
      <c r="A813" s="704" t="s">
        <v>1448</v>
      </c>
      <c r="B813" s="704" t="s">
        <v>1449</v>
      </c>
      <c r="C813" s="595"/>
      <c r="D813" s="595"/>
      <c r="E813" s="595"/>
      <c r="F813" s="595"/>
      <c r="G813" s="596"/>
    </row>
    <row r="814" spans="1:7" ht="12.75">
      <c r="A814" s="704" t="s">
        <v>1606</v>
      </c>
      <c r="B814" s="704" t="s">
        <v>1824</v>
      </c>
      <c r="C814" s="704"/>
      <c r="D814" s="704"/>
      <c r="E814" s="704"/>
      <c r="F814" s="704"/>
      <c r="G814" s="704"/>
    </row>
    <row r="815" spans="1:7" ht="12.75">
      <c r="A815" s="704" t="s">
        <v>1677</v>
      </c>
      <c r="B815" s="704"/>
      <c r="C815" s="704"/>
      <c r="D815" s="704"/>
      <c r="E815" s="704"/>
      <c r="F815" s="704"/>
      <c r="G815" s="704"/>
    </row>
    <row r="816" spans="1:7" ht="5.25" customHeight="1">
      <c r="A816" s="804"/>
      <c r="B816" s="805"/>
      <c r="C816" s="805"/>
      <c r="D816" s="805"/>
      <c r="E816" s="805"/>
      <c r="F816" s="805"/>
      <c r="G816" s="806"/>
    </row>
    <row r="817" spans="1:7" ht="38.25">
      <c r="A817" s="171" t="s">
        <v>984</v>
      </c>
      <c r="B817" s="182" t="s">
        <v>985</v>
      </c>
      <c r="C817" s="172" t="s">
        <v>72</v>
      </c>
      <c r="D817" s="172" t="s">
        <v>82</v>
      </c>
      <c r="E817" s="373"/>
      <c r="F817" s="374"/>
      <c r="G817" s="375"/>
    </row>
    <row r="818" spans="1:7" ht="25.5">
      <c r="A818" s="173" t="s">
        <v>986</v>
      </c>
      <c r="B818" s="174" t="s">
        <v>987</v>
      </c>
      <c r="C818" s="175" t="s">
        <v>73</v>
      </c>
      <c r="D818" s="175" t="s">
        <v>85</v>
      </c>
      <c r="E818" s="434">
        <v>0.33</v>
      </c>
      <c r="F818" s="435">
        <v>15.9</v>
      </c>
      <c r="G818" s="436">
        <f>E818*F818</f>
        <v>5.247000000000001</v>
      </c>
    </row>
    <row r="819" spans="1:7" ht="25.5">
      <c r="A819" s="173" t="s">
        <v>435</v>
      </c>
      <c r="B819" s="174" t="s">
        <v>436</v>
      </c>
      <c r="C819" s="175" t="s">
        <v>72</v>
      </c>
      <c r="D819" s="175" t="s">
        <v>77</v>
      </c>
      <c r="E819" s="434">
        <v>0.187</v>
      </c>
      <c r="F819" s="435">
        <v>15.09</v>
      </c>
      <c r="G819" s="436">
        <f>E819*F819</f>
        <v>2.82183</v>
      </c>
    </row>
    <row r="820" spans="1:7" ht="25.5">
      <c r="A820" s="173" t="s">
        <v>437</v>
      </c>
      <c r="B820" s="174" t="s">
        <v>438</v>
      </c>
      <c r="C820" s="175" t="s">
        <v>72</v>
      </c>
      <c r="D820" s="175" t="s">
        <v>77</v>
      </c>
      <c r="E820" s="434">
        <v>0.069</v>
      </c>
      <c r="F820" s="435">
        <v>12.64</v>
      </c>
      <c r="G820" s="436">
        <f>E820*F820</f>
        <v>0.8721600000000002</v>
      </c>
    </row>
    <row r="821" spans="1:7" ht="12.75">
      <c r="A821" s="783" t="s">
        <v>439</v>
      </c>
      <c r="B821" s="784"/>
      <c r="C821" s="784"/>
      <c r="D821" s="784"/>
      <c r="E821" s="784"/>
      <c r="F821" s="784"/>
      <c r="G821" s="440">
        <f>SUM(G819:G820)</f>
        <v>3.69399</v>
      </c>
    </row>
    <row r="822" spans="1:7" ht="12.75">
      <c r="A822" s="783" t="s">
        <v>440</v>
      </c>
      <c r="B822" s="784"/>
      <c r="C822" s="784"/>
      <c r="D822" s="784"/>
      <c r="E822" s="784"/>
      <c r="F822" s="784"/>
      <c r="G822" s="440">
        <f>SUM(G818)</f>
        <v>5.247000000000001</v>
      </c>
    </row>
    <row r="823" spans="1:7" ht="12.75">
      <c r="A823" s="783" t="s">
        <v>441</v>
      </c>
      <c r="B823" s="784"/>
      <c r="C823" s="784"/>
      <c r="D823" s="784"/>
      <c r="E823" s="784"/>
      <c r="F823" s="784"/>
      <c r="G823" s="440">
        <f>SUM(G821:G822)</f>
        <v>8.940990000000001</v>
      </c>
    </row>
    <row r="824" spans="1:7" ht="12.75">
      <c r="A824" s="783" t="s">
        <v>442</v>
      </c>
      <c r="B824" s="784"/>
      <c r="C824" s="784"/>
      <c r="D824" s="784"/>
      <c r="E824" s="784"/>
      <c r="F824" s="784"/>
      <c r="G824" s="440">
        <f>G821*85.16%</f>
        <v>3.1458018839999995</v>
      </c>
    </row>
    <row r="825" spans="1:7" ht="12.75">
      <c r="A825" s="783" t="s">
        <v>443</v>
      </c>
      <c r="B825" s="784"/>
      <c r="C825" s="784"/>
      <c r="D825" s="784"/>
      <c r="E825" s="784"/>
      <c r="F825" s="784"/>
      <c r="G825" s="440">
        <f>G824</f>
        <v>3.1458018839999995</v>
      </c>
    </row>
    <row r="826" spans="1:7" ht="12.75">
      <c r="A826" s="785" t="s">
        <v>444</v>
      </c>
      <c r="B826" s="786"/>
      <c r="C826" s="786"/>
      <c r="D826" s="786"/>
      <c r="E826" s="786"/>
      <c r="F826" s="787"/>
      <c r="G826" s="440">
        <f>G822</f>
        <v>5.247000000000001</v>
      </c>
    </row>
    <row r="827" spans="1:7" ht="12.75">
      <c r="A827" s="785" t="s">
        <v>445</v>
      </c>
      <c r="B827" s="786"/>
      <c r="C827" s="786"/>
      <c r="D827" s="786"/>
      <c r="E827" s="786"/>
      <c r="F827" s="787"/>
      <c r="G827" s="440">
        <f>G821+G825</f>
        <v>6.839791883999999</v>
      </c>
    </row>
    <row r="828" spans="1:7" ht="12.75">
      <c r="A828" s="785" t="s">
        <v>446</v>
      </c>
      <c r="B828" s="786"/>
      <c r="C828" s="786"/>
      <c r="D828" s="786"/>
      <c r="E828" s="786"/>
      <c r="F828" s="787"/>
      <c r="G828" s="440">
        <f>SUM(G826:G827)</f>
        <v>12.086791884</v>
      </c>
    </row>
    <row r="829" spans="1:7" ht="12.75">
      <c r="A829" s="796"/>
      <c r="B829" s="797"/>
      <c r="C829" s="797"/>
      <c r="D829" s="797"/>
      <c r="E829" s="797"/>
      <c r="F829" s="797"/>
      <c r="G829" s="798"/>
    </row>
    <row r="830" spans="1:7" ht="12.75">
      <c r="A830" s="720"/>
      <c r="B830" s="721"/>
      <c r="C830" s="721"/>
      <c r="D830" s="721"/>
      <c r="E830" s="721"/>
      <c r="F830" s="721"/>
      <c r="G830" s="722"/>
    </row>
    <row r="831" spans="1:7" ht="12.75">
      <c r="A831" s="704" t="s">
        <v>1448</v>
      </c>
      <c r="B831" s="704" t="s">
        <v>1449</v>
      </c>
      <c r="C831" s="723"/>
      <c r="D831" s="723"/>
      <c r="E831" s="723"/>
      <c r="F831" s="723"/>
      <c r="G831" s="724"/>
    </row>
    <row r="832" spans="1:7" ht="12.75">
      <c r="A832" s="704" t="s">
        <v>1606</v>
      </c>
      <c r="B832" s="704" t="s">
        <v>1824</v>
      </c>
      <c r="C832" s="704"/>
      <c r="D832" s="704"/>
      <c r="E832" s="704"/>
      <c r="F832" s="704"/>
      <c r="G832" s="704"/>
    </row>
    <row r="833" spans="1:7" ht="12.75">
      <c r="A833" s="704" t="s">
        <v>1835</v>
      </c>
      <c r="B833" s="704"/>
      <c r="C833" s="704"/>
      <c r="D833" s="704"/>
      <c r="E833" s="704"/>
      <c r="F833" s="704"/>
      <c r="G833" s="704"/>
    </row>
    <row r="834" spans="1:7" ht="12.75">
      <c r="A834" s="804"/>
      <c r="B834" s="805"/>
      <c r="C834" s="805"/>
      <c r="D834" s="805"/>
      <c r="E834" s="805"/>
      <c r="F834" s="805"/>
      <c r="G834" s="806"/>
    </row>
    <row r="835" spans="1:7" ht="38.25">
      <c r="A835" s="171" t="s">
        <v>984</v>
      </c>
      <c r="B835" s="725" t="s">
        <v>985</v>
      </c>
      <c r="C835" s="172" t="s">
        <v>72</v>
      </c>
      <c r="D835" s="172" t="s">
        <v>82</v>
      </c>
      <c r="E835" s="373"/>
      <c r="F835" s="374"/>
      <c r="G835" s="375"/>
    </row>
    <row r="836" spans="1:7" ht="25.5">
      <c r="A836" s="173" t="s">
        <v>986</v>
      </c>
      <c r="B836" s="174" t="s">
        <v>987</v>
      </c>
      <c r="C836" s="175" t="s">
        <v>73</v>
      </c>
      <c r="D836" s="175" t="s">
        <v>85</v>
      </c>
      <c r="E836" s="434">
        <v>0.33</v>
      </c>
      <c r="F836" s="435">
        <v>15.9</v>
      </c>
      <c r="G836" s="436">
        <f>E836*F836</f>
        <v>5.247000000000001</v>
      </c>
    </row>
    <row r="837" spans="1:7" ht="25.5">
      <c r="A837" s="173" t="s">
        <v>435</v>
      </c>
      <c r="B837" s="174" t="s">
        <v>436</v>
      </c>
      <c r="C837" s="175" t="s">
        <v>72</v>
      </c>
      <c r="D837" s="175" t="s">
        <v>77</v>
      </c>
      <c r="E837" s="434">
        <v>0.187</v>
      </c>
      <c r="F837" s="435">
        <v>15.09</v>
      </c>
      <c r="G837" s="436">
        <f>E837*F837</f>
        <v>2.82183</v>
      </c>
    </row>
    <row r="838" spans="1:7" ht="25.5">
      <c r="A838" s="173" t="s">
        <v>437</v>
      </c>
      <c r="B838" s="174" t="s">
        <v>438</v>
      </c>
      <c r="C838" s="175" t="s">
        <v>72</v>
      </c>
      <c r="D838" s="175" t="s">
        <v>77</v>
      </c>
      <c r="E838" s="434">
        <v>0.069</v>
      </c>
      <c r="F838" s="435">
        <v>12.64</v>
      </c>
      <c r="G838" s="436">
        <f>E838*F838</f>
        <v>0.8721600000000002</v>
      </c>
    </row>
    <row r="839" spans="1:7" ht="12.75">
      <c r="A839" s="783" t="s">
        <v>439</v>
      </c>
      <c r="B839" s="784"/>
      <c r="C839" s="784"/>
      <c r="D839" s="784"/>
      <c r="E839" s="784"/>
      <c r="F839" s="784"/>
      <c r="G839" s="440">
        <f>SUM(G837:G838)</f>
        <v>3.69399</v>
      </c>
    </row>
    <row r="840" spans="1:7" ht="12.75">
      <c r="A840" s="783" t="s">
        <v>440</v>
      </c>
      <c r="B840" s="784"/>
      <c r="C840" s="784"/>
      <c r="D840" s="784"/>
      <c r="E840" s="784"/>
      <c r="F840" s="784"/>
      <c r="G840" s="440">
        <f>SUM(G836)</f>
        <v>5.247000000000001</v>
      </c>
    </row>
    <row r="841" spans="1:7" ht="12.75">
      <c r="A841" s="783" t="s">
        <v>441</v>
      </c>
      <c r="B841" s="784"/>
      <c r="C841" s="784"/>
      <c r="D841" s="784"/>
      <c r="E841" s="784"/>
      <c r="F841" s="784"/>
      <c r="G841" s="440">
        <f>SUM(G839:G840)</f>
        <v>8.940990000000001</v>
      </c>
    </row>
    <row r="842" spans="1:7" ht="12.75">
      <c r="A842" s="783" t="s">
        <v>442</v>
      </c>
      <c r="B842" s="784"/>
      <c r="C842" s="784"/>
      <c r="D842" s="784"/>
      <c r="E842" s="784"/>
      <c r="F842" s="784"/>
      <c r="G842" s="440">
        <f>G839*85.16%</f>
        <v>3.1458018839999995</v>
      </c>
    </row>
    <row r="843" spans="1:7" ht="12.75">
      <c r="A843" s="783" t="s">
        <v>443</v>
      </c>
      <c r="B843" s="784"/>
      <c r="C843" s="784"/>
      <c r="D843" s="784"/>
      <c r="E843" s="784"/>
      <c r="F843" s="784"/>
      <c r="G843" s="440">
        <f>G842</f>
        <v>3.1458018839999995</v>
      </c>
    </row>
    <row r="844" spans="1:7" ht="12.75">
      <c r="A844" s="785" t="s">
        <v>444</v>
      </c>
      <c r="B844" s="786"/>
      <c r="C844" s="786"/>
      <c r="D844" s="786"/>
      <c r="E844" s="786"/>
      <c r="F844" s="787"/>
      <c r="G844" s="440">
        <f>G840</f>
        <v>5.247000000000001</v>
      </c>
    </row>
    <row r="845" spans="1:7" ht="12.75">
      <c r="A845" s="785" t="s">
        <v>445</v>
      </c>
      <c r="B845" s="786"/>
      <c r="C845" s="786"/>
      <c r="D845" s="786"/>
      <c r="E845" s="786"/>
      <c r="F845" s="787"/>
      <c r="G845" s="440">
        <f>G839+G843</f>
        <v>6.839791883999999</v>
      </c>
    </row>
    <row r="846" spans="1:7" ht="12.75">
      <c r="A846" s="785" t="s">
        <v>446</v>
      </c>
      <c r="B846" s="786"/>
      <c r="C846" s="786"/>
      <c r="D846" s="786"/>
      <c r="E846" s="786"/>
      <c r="F846" s="787"/>
      <c r="G846" s="440">
        <f>SUM(G844:G845)</f>
        <v>12.086791884</v>
      </c>
    </row>
    <row r="847" spans="1:7" ht="12.75">
      <c r="A847" s="720"/>
      <c r="B847" s="721"/>
      <c r="C847" s="721"/>
      <c r="D847" s="721"/>
      <c r="E847" s="721"/>
      <c r="F847" s="721"/>
      <c r="G847" s="722"/>
    </row>
    <row r="848" spans="1:7" ht="12.75">
      <c r="A848" s="804"/>
      <c r="B848" s="805"/>
      <c r="C848" s="805"/>
      <c r="D848" s="805"/>
      <c r="E848" s="805"/>
      <c r="F848" s="805"/>
      <c r="G848" s="806"/>
    </row>
    <row r="849" spans="1:7" ht="12.75">
      <c r="A849" s="704" t="s">
        <v>1607</v>
      </c>
      <c r="B849" s="704" t="s">
        <v>1678</v>
      </c>
      <c r="C849" s="595"/>
      <c r="D849" s="595"/>
      <c r="E849" s="595"/>
      <c r="F849" s="595"/>
      <c r="G849" s="596"/>
    </row>
    <row r="850" spans="1:7" ht="12.75">
      <c r="A850" s="704" t="s">
        <v>1676</v>
      </c>
      <c r="B850" s="704"/>
      <c r="C850" s="595"/>
      <c r="D850" s="595"/>
      <c r="E850" s="595"/>
      <c r="F850" s="595"/>
      <c r="G850" s="596"/>
    </row>
    <row r="851" spans="1:7" ht="38.25">
      <c r="A851" s="171" t="s">
        <v>980</v>
      </c>
      <c r="B851" s="182" t="s">
        <v>981</v>
      </c>
      <c r="C851" s="172" t="s">
        <v>72</v>
      </c>
      <c r="D851" s="172" t="s">
        <v>82</v>
      </c>
      <c r="E851" s="373"/>
      <c r="F851" s="374"/>
      <c r="G851" s="375"/>
    </row>
    <row r="852" spans="1:7" ht="25.5">
      <c r="A852" s="173" t="s">
        <v>982</v>
      </c>
      <c r="B852" s="174" t="s">
        <v>983</v>
      </c>
      <c r="C852" s="175" t="s">
        <v>73</v>
      </c>
      <c r="D852" s="175" t="s">
        <v>85</v>
      </c>
      <c r="E852" s="434">
        <v>0.33</v>
      </c>
      <c r="F852" s="435">
        <v>13.74</v>
      </c>
      <c r="G852" s="436">
        <f>E852*F852</f>
        <v>4.5342</v>
      </c>
    </row>
    <row r="853" spans="1:7" ht="25.5">
      <c r="A853" s="173" t="s">
        <v>435</v>
      </c>
      <c r="B853" s="174" t="s">
        <v>436</v>
      </c>
      <c r="C853" s="175" t="s">
        <v>72</v>
      </c>
      <c r="D853" s="175" t="s">
        <v>77</v>
      </c>
      <c r="E853" s="434">
        <v>0.13</v>
      </c>
      <c r="F853" s="435">
        <v>15.09</v>
      </c>
      <c r="G853" s="436">
        <f>E853*F853</f>
        <v>1.9617</v>
      </c>
    </row>
    <row r="854" spans="1:7" ht="25.5">
      <c r="A854" s="173" t="s">
        <v>437</v>
      </c>
      <c r="B854" s="174" t="s">
        <v>438</v>
      </c>
      <c r="C854" s="175" t="s">
        <v>72</v>
      </c>
      <c r="D854" s="175" t="s">
        <v>77</v>
      </c>
      <c r="E854" s="434">
        <v>0.048</v>
      </c>
      <c r="F854" s="435">
        <v>12.64</v>
      </c>
      <c r="G854" s="436">
        <f>E854*F854</f>
        <v>0.60672</v>
      </c>
    </row>
    <row r="855" spans="1:7" ht="12.75">
      <c r="A855" s="783" t="s">
        <v>439</v>
      </c>
      <c r="B855" s="784"/>
      <c r="C855" s="784"/>
      <c r="D855" s="784"/>
      <c r="E855" s="784"/>
      <c r="F855" s="784"/>
      <c r="G855" s="440">
        <f>SUM(G853:G854)</f>
        <v>2.56842</v>
      </c>
    </row>
    <row r="856" spans="1:7" ht="12.75">
      <c r="A856" s="783" t="s">
        <v>440</v>
      </c>
      <c r="B856" s="784"/>
      <c r="C856" s="784"/>
      <c r="D856" s="784"/>
      <c r="E856" s="784"/>
      <c r="F856" s="784"/>
      <c r="G856" s="440">
        <f>SUM(G852)</f>
        <v>4.5342</v>
      </c>
    </row>
    <row r="857" spans="1:7" ht="12.75">
      <c r="A857" s="783" t="s">
        <v>441</v>
      </c>
      <c r="B857" s="784"/>
      <c r="C857" s="784"/>
      <c r="D857" s="784"/>
      <c r="E857" s="784"/>
      <c r="F857" s="784"/>
      <c r="G857" s="440">
        <f>SUM(G855:G856)</f>
        <v>7.10262</v>
      </c>
    </row>
    <row r="858" spans="1:7" ht="12.75">
      <c r="A858" s="783" t="s">
        <v>442</v>
      </c>
      <c r="B858" s="784"/>
      <c r="C858" s="784"/>
      <c r="D858" s="784"/>
      <c r="E858" s="784"/>
      <c r="F858" s="784"/>
      <c r="G858" s="440">
        <f>G855*85.16%</f>
        <v>2.1872664719999997</v>
      </c>
    </row>
    <row r="859" spans="1:7" ht="12.75">
      <c r="A859" s="783" t="s">
        <v>443</v>
      </c>
      <c r="B859" s="784"/>
      <c r="C859" s="784"/>
      <c r="D859" s="784"/>
      <c r="E859" s="784"/>
      <c r="F859" s="784"/>
      <c r="G859" s="440">
        <f>G858</f>
        <v>2.1872664719999997</v>
      </c>
    </row>
    <row r="860" spans="1:7" ht="12.75">
      <c r="A860" s="785" t="s">
        <v>444</v>
      </c>
      <c r="B860" s="786"/>
      <c r="C860" s="786"/>
      <c r="D860" s="786"/>
      <c r="E860" s="786"/>
      <c r="F860" s="787"/>
      <c r="G860" s="440">
        <f>G856</f>
        <v>4.5342</v>
      </c>
    </row>
    <row r="861" spans="1:7" ht="12.75">
      <c r="A861" s="785" t="s">
        <v>445</v>
      </c>
      <c r="B861" s="786"/>
      <c r="C861" s="786"/>
      <c r="D861" s="786"/>
      <c r="E861" s="786"/>
      <c r="F861" s="787"/>
      <c r="G861" s="440">
        <f>G855+G859</f>
        <v>4.755686472</v>
      </c>
    </row>
    <row r="862" spans="1:7" ht="12.75">
      <c r="A862" s="785" t="s">
        <v>446</v>
      </c>
      <c r="B862" s="786"/>
      <c r="C862" s="786"/>
      <c r="D862" s="786"/>
      <c r="E862" s="786"/>
      <c r="F862" s="787"/>
      <c r="G862" s="440">
        <f>SUM(G860:G861)</f>
        <v>9.289886472</v>
      </c>
    </row>
    <row r="863" spans="1:7" ht="12.75">
      <c r="A863" s="796"/>
      <c r="B863" s="797"/>
      <c r="C863" s="797"/>
      <c r="D863" s="797"/>
      <c r="E863" s="797"/>
      <c r="F863" s="797"/>
      <c r="G863" s="798"/>
    </row>
    <row r="864" spans="1:7" ht="12.75" customHeight="1">
      <c r="A864" s="170"/>
      <c r="B864" s="597"/>
      <c r="C864" s="597"/>
      <c r="D864" s="597"/>
      <c r="E864" s="597"/>
      <c r="F864" s="597"/>
      <c r="G864" s="598"/>
    </row>
    <row r="865" spans="1:7" ht="12.75" customHeight="1">
      <c r="A865" s="597" t="s">
        <v>1451</v>
      </c>
      <c r="B865" s="597" t="s">
        <v>1450</v>
      </c>
      <c r="C865" s="597"/>
      <c r="D865" s="597"/>
      <c r="E865" s="597"/>
      <c r="F865" s="597"/>
      <c r="G865" s="598"/>
    </row>
    <row r="866" spans="1:7" ht="12.75" customHeight="1">
      <c r="A866" s="597" t="s">
        <v>1596</v>
      </c>
      <c r="B866" s="597"/>
      <c r="C866" s="597"/>
      <c r="D866" s="597"/>
      <c r="E866" s="597"/>
      <c r="F866" s="597"/>
      <c r="G866" s="598"/>
    </row>
    <row r="867" spans="1:7" ht="51">
      <c r="A867" s="171" t="s">
        <v>946</v>
      </c>
      <c r="B867" s="182" t="s">
        <v>947</v>
      </c>
      <c r="C867" s="172" t="s">
        <v>72</v>
      </c>
      <c r="D867" s="172" t="s">
        <v>82</v>
      </c>
      <c r="E867" s="373"/>
      <c r="F867" s="374"/>
      <c r="G867" s="375"/>
    </row>
    <row r="868" spans="1:7" ht="63.75">
      <c r="A868" s="173" t="s">
        <v>948</v>
      </c>
      <c r="B868" s="174" t="s">
        <v>949</v>
      </c>
      <c r="C868" s="175" t="s">
        <v>73</v>
      </c>
      <c r="D868" s="175" t="s">
        <v>82</v>
      </c>
      <c r="E868" s="434">
        <v>1</v>
      </c>
      <c r="F868" s="435">
        <v>226.41</v>
      </c>
      <c r="G868" s="436">
        <f>E868*F868</f>
        <v>226.41</v>
      </c>
    </row>
    <row r="869" spans="1:7" ht="12.75">
      <c r="A869" s="173" t="s">
        <v>516</v>
      </c>
      <c r="B869" s="174" t="s">
        <v>517</v>
      </c>
      <c r="C869" s="175" t="s">
        <v>73</v>
      </c>
      <c r="D869" s="175" t="s">
        <v>424</v>
      </c>
      <c r="E869" s="434">
        <v>0.75</v>
      </c>
      <c r="F869" s="435">
        <v>2.78</v>
      </c>
      <c r="G869" s="436">
        <f>E869*F869</f>
        <v>2.085</v>
      </c>
    </row>
    <row r="870" spans="1:7" ht="51">
      <c r="A870" s="173" t="s">
        <v>950</v>
      </c>
      <c r="B870" s="174" t="s">
        <v>951</v>
      </c>
      <c r="C870" s="175" t="s">
        <v>72</v>
      </c>
      <c r="D870" s="175" t="s">
        <v>477</v>
      </c>
      <c r="E870" s="434">
        <v>0.025</v>
      </c>
      <c r="F870" s="435">
        <v>413.56</v>
      </c>
      <c r="G870" s="436">
        <f>E870*F870</f>
        <v>10.339</v>
      </c>
    </row>
    <row r="871" spans="1:7" ht="25.5">
      <c r="A871" s="173" t="s">
        <v>518</v>
      </c>
      <c r="B871" s="174" t="s">
        <v>519</v>
      </c>
      <c r="C871" s="175" t="s">
        <v>72</v>
      </c>
      <c r="D871" s="175" t="s">
        <v>77</v>
      </c>
      <c r="E871" s="434">
        <v>1</v>
      </c>
      <c r="F871" s="435">
        <v>14.57</v>
      </c>
      <c r="G871" s="436">
        <f>E871*F871</f>
        <v>14.57</v>
      </c>
    </row>
    <row r="872" spans="1:7" ht="25.5">
      <c r="A872" s="173" t="s">
        <v>437</v>
      </c>
      <c r="B872" s="174" t="s">
        <v>438</v>
      </c>
      <c r="C872" s="175" t="s">
        <v>72</v>
      </c>
      <c r="D872" s="175" t="s">
        <v>77</v>
      </c>
      <c r="E872" s="434">
        <v>0.5</v>
      </c>
      <c r="F872" s="435">
        <v>12.64</v>
      </c>
      <c r="G872" s="436">
        <f>E872*F872</f>
        <v>6.32</v>
      </c>
    </row>
    <row r="873" spans="1:7" ht="12.75">
      <c r="A873" s="783" t="s">
        <v>439</v>
      </c>
      <c r="B873" s="784"/>
      <c r="C873" s="784"/>
      <c r="D873" s="784"/>
      <c r="E873" s="784"/>
      <c r="F873" s="784"/>
      <c r="G873" s="440">
        <f>SUM(G871:G872)</f>
        <v>20.89</v>
      </c>
    </row>
    <row r="874" spans="1:7" ht="12.75">
      <c r="A874" s="783" t="s">
        <v>440</v>
      </c>
      <c r="B874" s="784"/>
      <c r="C874" s="784"/>
      <c r="D874" s="784"/>
      <c r="E874" s="784"/>
      <c r="F874" s="784"/>
      <c r="G874" s="440">
        <f>SUM(G868:G870)</f>
        <v>238.834</v>
      </c>
    </row>
    <row r="875" spans="1:7" ht="12.75">
      <c r="A875" s="783" t="s">
        <v>441</v>
      </c>
      <c r="B875" s="784"/>
      <c r="C875" s="784"/>
      <c r="D875" s="784"/>
      <c r="E875" s="784"/>
      <c r="F875" s="784"/>
      <c r="G875" s="440">
        <f>SUM(G873:G874)</f>
        <v>259.724</v>
      </c>
    </row>
    <row r="876" spans="1:7" ht="12.75">
      <c r="A876" s="783" t="s">
        <v>442</v>
      </c>
      <c r="B876" s="784"/>
      <c r="C876" s="784"/>
      <c r="D876" s="784"/>
      <c r="E876" s="784"/>
      <c r="F876" s="784"/>
      <c r="G876" s="440">
        <f>G873*85.16%</f>
        <v>17.789924</v>
      </c>
    </row>
    <row r="877" spans="1:7" ht="12.75">
      <c r="A877" s="783" t="s">
        <v>443</v>
      </c>
      <c r="B877" s="784"/>
      <c r="C877" s="784"/>
      <c r="D877" s="784"/>
      <c r="E877" s="784"/>
      <c r="F877" s="784"/>
      <c r="G877" s="440">
        <f>G876</f>
        <v>17.789924</v>
      </c>
    </row>
    <row r="878" spans="1:7" ht="12.75">
      <c r="A878" s="785" t="s">
        <v>444</v>
      </c>
      <c r="B878" s="786"/>
      <c r="C878" s="786"/>
      <c r="D878" s="786"/>
      <c r="E878" s="786"/>
      <c r="F878" s="787"/>
      <c r="G878" s="440">
        <f>G874</f>
        <v>238.834</v>
      </c>
    </row>
    <row r="879" spans="1:7" ht="12.75">
      <c r="A879" s="785" t="s">
        <v>445</v>
      </c>
      <c r="B879" s="786"/>
      <c r="C879" s="786"/>
      <c r="D879" s="786"/>
      <c r="E879" s="786"/>
      <c r="F879" s="787"/>
      <c r="G879" s="440">
        <f>G873+G877</f>
        <v>38.679924</v>
      </c>
    </row>
    <row r="880" spans="1:7" ht="12.75">
      <c r="A880" s="785" t="s">
        <v>446</v>
      </c>
      <c r="B880" s="786"/>
      <c r="C880" s="786"/>
      <c r="D880" s="786"/>
      <c r="E880" s="786"/>
      <c r="F880" s="787"/>
      <c r="G880" s="440">
        <f>SUM(G878:G879)</f>
        <v>277.513924</v>
      </c>
    </row>
    <row r="881" spans="1:7" ht="3.75" customHeight="1">
      <c r="A881" s="796"/>
      <c r="B881" s="797"/>
      <c r="C881" s="797"/>
      <c r="D881" s="797"/>
      <c r="E881" s="797"/>
      <c r="F881" s="797"/>
      <c r="G881" s="798"/>
    </row>
    <row r="882" spans="1:7" ht="12.75">
      <c r="A882" s="804"/>
      <c r="B882" s="805"/>
      <c r="C882" s="805"/>
      <c r="D882" s="805"/>
      <c r="E882" s="805"/>
      <c r="F882" s="805"/>
      <c r="G882" s="806"/>
    </row>
    <row r="883" spans="1:7" ht="12.75">
      <c r="A883" s="594"/>
      <c r="B883" s="595"/>
      <c r="C883" s="595"/>
      <c r="D883" s="595"/>
      <c r="E883" s="595"/>
      <c r="F883" s="595"/>
      <c r="G883" s="596"/>
    </row>
    <row r="884" spans="1:7" ht="12.75">
      <c r="A884" s="704" t="s">
        <v>1597</v>
      </c>
      <c r="B884" s="595"/>
      <c r="C884" s="595"/>
      <c r="D884" s="595"/>
      <c r="E884" s="595"/>
      <c r="F884" s="595"/>
      <c r="G884" s="596"/>
    </row>
    <row r="885" spans="1:7" ht="38.25">
      <c r="A885" s="171" t="s">
        <v>938</v>
      </c>
      <c r="B885" s="182" t="s">
        <v>939</v>
      </c>
      <c r="C885" s="172" t="s">
        <v>72</v>
      </c>
      <c r="D885" s="172" t="s">
        <v>82</v>
      </c>
      <c r="E885" s="373"/>
      <c r="F885" s="374"/>
      <c r="G885" s="375"/>
    </row>
    <row r="886" spans="1:7" ht="38.25">
      <c r="A886" s="173" t="s">
        <v>940</v>
      </c>
      <c r="B886" s="174" t="s">
        <v>941</v>
      </c>
      <c r="C886" s="175" t="s">
        <v>73</v>
      </c>
      <c r="D886" s="175" t="s">
        <v>71</v>
      </c>
      <c r="E886" s="434">
        <v>1</v>
      </c>
      <c r="F886" s="435">
        <v>1.48</v>
      </c>
      <c r="G886" s="436">
        <f>E886*F886</f>
        <v>1.48</v>
      </c>
    </row>
    <row r="887" spans="1:7" ht="51">
      <c r="A887" s="173" t="s">
        <v>942</v>
      </c>
      <c r="B887" s="174" t="s">
        <v>943</v>
      </c>
      <c r="C887" s="175" t="s">
        <v>73</v>
      </c>
      <c r="D887" s="175" t="s">
        <v>82</v>
      </c>
      <c r="E887" s="434">
        <v>1</v>
      </c>
      <c r="F887" s="435">
        <v>59</v>
      </c>
      <c r="G887" s="436">
        <f>E887*F887</f>
        <v>59</v>
      </c>
    </row>
    <row r="888" spans="1:7" ht="38.25">
      <c r="A888" s="173" t="s">
        <v>944</v>
      </c>
      <c r="B888" s="174" t="s">
        <v>945</v>
      </c>
      <c r="C888" s="175" t="s">
        <v>72</v>
      </c>
      <c r="D888" s="175" t="s">
        <v>477</v>
      </c>
      <c r="E888" s="434">
        <v>0.02</v>
      </c>
      <c r="F888" s="435">
        <v>437.13</v>
      </c>
      <c r="G888" s="436">
        <f>E888*F888</f>
        <v>8.7426</v>
      </c>
    </row>
    <row r="889" spans="1:7" ht="25.5">
      <c r="A889" s="173" t="s">
        <v>449</v>
      </c>
      <c r="B889" s="174" t="s">
        <v>450</v>
      </c>
      <c r="C889" s="175" t="s">
        <v>72</v>
      </c>
      <c r="D889" s="175" t="s">
        <v>77</v>
      </c>
      <c r="E889" s="434">
        <v>0.6</v>
      </c>
      <c r="F889" s="435">
        <v>14.57</v>
      </c>
      <c r="G889" s="436">
        <f>E889*F889</f>
        <v>8.741999999999999</v>
      </c>
    </row>
    <row r="890" spans="1:7" ht="25.5">
      <c r="A890" s="173" t="s">
        <v>437</v>
      </c>
      <c r="B890" s="174" t="s">
        <v>438</v>
      </c>
      <c r="C890" s="175" t="s">
        <v>72</v>
      </c>
      <c r="D890" s="175" t="s">
        <v>77</v>
      </c>
      <c r="E890" s="434">
        <v>0.3</v>
      </c>
      <c r="F890" s="435">
        <v>12.64</v>
      </c>
      <c r="G890" s="436">
        <f>E890*F890</f>
        <v>3.792</v>
      </c>
    </row>
    <row r="891" spans="1:7" ht="12.75">
      <c r="A891" s="783" t="s">
        <v>439</v>
      </c>
      <c r="B891" s="784"/>
      <c r="C891" s="784"/>
      <c r="D891" s="784"/>
      <c r="E891" s="784"/>
      <c r="F891" s="784"/>
      <c r="G891" s="440">
        <f>SUM(G889:G890)</f>
        <v>12.533999999999999</v>
      </c>
    </row>
    <row r="892" spans="1:7" ht="12.75">
      <c r="A892" s="783" t="s">
        <v>440</v>
      </c>
      <c r="B892" s="784"/>
      <c r="C892" s="784"/>
      <c r="D892" s="784"/>
      <c r="E892" s="784"/>
      <c r="F892" s="784"/>
      <c r="G892" s="440">
        <f>SUM(G886:G888)</f>
        <v>69.2226</v>
      </c>
    </row>
    <row r="893" spans="1:7" ht="12.75">
      <c r="A893" s="783" t="s">
        <v>441</v>
      </c>
      <c r="B893" s="784"/>
      <c r="C893" s="784"/>
      <c r="D893" s="784"/>
      <c r="E893" s="784"/>
      <c r="F893" s="784"/>
      <c r="G893" s="440">
        <f>SUM(G891:G892)</f>
        <v>81.75659999999999</v>
      </c>
    </row>
    <row r="894" spans="1:7" ht="12.75">
      <c r="A894" s="783" t="s">
        <v>442</v>
      </c>
      <c r="B894" s="784"/>
      <c r="C894" s="784"/>
      <c r="D894" s="784"/>
      <c r="E894" s="784"/>
      <c r="F894" s="784"/>
      <c r="G894" s="440">
        <f>G891*85.16%</f>
        <v>10.673954399999998</v>
      </c>
    </row>
    <row r="895" spans="1:7" ht="12.75">
      <c r="A895" s="783" t="s">
        <v>443</v>
      </c>
      <c r="B895" s="784"/>
      <c r="C895" s="784"/>
      <c r="D895" s="784"/>
      <c r="E895" s="784"/>
      <c r="F895" s="784"/>
      <c r="G895" s="440">
        <f>G894</f>
        <v>10.673954399999998</v>
      </c>
    </row>
    <row r="896" spans="1:7" ht="12.75">
      <c r="A896" s="785" t="s">
        <v>444</v>
      </c>
      <c r="B896" s="786"/>
      <c r="C896" s="786"/>
      <c r="D896" s="786"/>
      <c r="E896" s="786"/>
      <c r="F896" s="787"/>
      <c r="G896" s="440">
        <f>G892</f>
        <v>69.2226</v>
      </c>
    </row>
    <row r="897" spans="1:7" ht="12.75">
      <c r="A897" s="785" t="s">
        <v>445</v>
      </c>
      <c r="B897" s="786"/>
      <c r="C897" s="786"/>
      <c r="D897" s="786"/>
      <c r="E897" s="786"/>
      <c r="F897" s="787"/>
      <c r="G897" s="440">
        <f>G891+G895</f>
        <v>23.2079544</v>
      </c>
    </row>
    <row r="898" spans="1:7" ht="12.75">
      <c r="A898" s="785" t="s">
        <v>446</v>
      </c>
      <c r="B898" s="786"/>
      <c r="C898" s="786"/>
      <c r="D898" s="786"/>
      <c r="E898" s="786"/>
      <c r="F898" s="787"/>
      <c r="G898" s="440">
        <f>SUM(G896:G897)</f>
        <v>92.4305544</v>
      </c>
    </row>
    <row r="899" spans="1:7" ht="12.75">
      <c r="A899" s="796"/>
      <c r="B899" s="797"/>
      <c r="C899" s="797"/>
      <c r="D899" s="797"/>
      <c r="E899" s="797"/>
      <c r="F899" s="797"/>
      <c r="G899" s="798"/>
    </row>
    <row r="900" spans="1:7" ht="12.75">
      <c r="A900" s="804"/>
      <c r="B900" s="805"/>
      <c r="C900" s="805"/>
      <c r="D900" s="805"/>
      <c r="E900" s="805"/>
      <c r="F900" s="805"/>
      <c r="G900" s="806"/>
    </row>
    <row r="901" spans="1:7" ht="12.75">
      <c r="A901" s="704" t="s">
        <v>1452</v>
      </c>
      <c r="B901" s="704" t="s">
        <v>1616</v>
      </c>
      <c r="C901" s="595"/>
      <c r="D901" s="595"/>
      <c r="E901" s="595"/>
      <c r="F901" s="595"/>
      <c r="G901" s="596"/>
    </row>
    <row r="902" spans="1:7" ht="12.75">
      <c r="A902" s="704" t="s">
        <v>1608</v>
      </c>
      <c r="B902" s="704" t="s">
        <v>1609</v>
      </c>
      <c r="C902" s="595"/>
      <c r="D902" s="595"/>
      <c r="E902" s="595"/>
      <c r="F902" s="595"/>
      <c r="G902" s="596"/>
    </row>
    <row r="903" spans="1:7" ht="12.75">
      <c r="A903" s="704" t="s">
        <v>1687</v>
      </c>
      <c r="B903" s="704"/>
      <c r="C903" s="595"/>
      <c r="D903" s="595"/>
      <c r="E903" s="595"/>
      <c r="F903" s="595"/>
      <c r="G903" s="596"/>
    </row>
    <row r="904" spans="1:7" ht="51">
      <c r="A904" s="171" t="s">
        <v>952</v>
      </c>
      <c r="B904" s="182" t="s">
        <v>953</v>
      </c>
      <c r="C904" s="172" t="s">
        <v>72</v>
      </c>
      <c r="D904" s="172" t="s">
        <v>4</v>
      </c>
      <c r="E904" s="373"/>
      <c r="F904" s="374"/>
      <c r="G904" s="375"/>
    </row>
    <row r="905" spans="1:7" ht="63.75">
      <c r="A905" s="173" t="s">
        <v>954</v>
      </c>
      <c r="B905" s="174" t="s">
        <v>955</v>
      </c>
      <c r="C905" s="175" t="s">
        <v>73</v>
      </c>
      <c r="D905" s="175" t="s">
        <v>71</v>
      </c>
      <c r="E905" s="434">
        <v>1.1</v>
      </c>
      <c r="F905" s="435">
        <v>44.65</v>
      </c>
      <c r="G905" s="436">
        <f>E905*F905</f>
        <v>49.115</v>
      </c>
    </row>
    <row r="906" spans="1:7" ht="38.25">
      <c r="A906" s="173" t="s">
        <v>944</v>
      </c>
      <c r="B906" s="174" t="s">
        <v>945</v>
      </c>
      <c r="C906" s="175" t="s">
        <v>72</v>
      </c>
      <c r="D906" s="175" t="s">
        <v>477</v>
      </c>
      <c r="E906" s="434">
        <v>0.0016</v>
      </c>
      <c r="F906" s="435">
        <v>437.13</v>
      </c>
      <c r="G906" s="436">
        <f>E906*F906</f>
        <v>0.699408</v>
      </c>
    </row>
    <row r="907" spans="1:7" ht="25.5">
      <c r="A907" s="173" t="s">
        <v>518</v>
      </c>
      <c r="B907" s="174" t="s">
        <v>519</v>
      </c>
      <c r="C907" s="175" t="s">
        <v>72</v>
      </c>
      <c r="D907" s="175" t="s">
        <v>77</v>
      </c>
      <c r="E907" s="434">
        <v>0.1</v>
      </c>
      <c r="F907" s="435">
        <v>14.57</v>
      </c>
      <c r="G907" s="436">
        <f>E907*F907</f>
        <v>1.457</v>
      </c>
    </row>
    <row r="908" spans="1:7" ht="25.5">
      <c r="A908" s="173" t="s">
        <v>437</v>
      </c>
      <c r="B908" s="174" t="s">
        <v>438</v>
      </c>
      <c r="C908" s="175" t="s">
        <v>72</v>
      </c>
      <c r="D908" s="175" t="s">
        <v>77</v>
      </c>
      <c r="E908" s="434">
        <v>0.3</v>
      </c>
      <c r="F908" s="435">
        <v>12.64</v>
      </c>
      <c r="G908" s="436">
        <f>E908*F908</f>
        <v>3.792</v>
      </c>
    </row>
    <row r="909" spans="1:7" ht="12.75">
      <c r="A909" s="783" t="s">
        <v>439</v>
      </c>
      <c r="B909" s="784"/>
      <c r="C909" s="784"/>
      <c r="D909" s="784"/>
      <c r="E909" s="784"/>
      <c r="F909" s="784"/>
      <c r="G909" s="440">
        <f>SUM(G907:G908)</f>
        <v>5.249</v>
      </c>
    </row>
    <row r="910" spans="1:7" ht="12.75">
      <c r="A910" s="783" t="s">
        <v>440</v>
      </c>
      <c r="B910" s="784"/>
      <c r="C910" s="784"/>
      <c r="D910" s="784"/>
      <c r="E910" s="784"/>
      <c r="F910" s="784"/>
      <c r="G910" s="440">
        <f>SUM(G904:G906)</f>
        <v>49.814408</v>
      </c>
    </row>
    <row r="911" spans="1:7" ht="12.75">
      <c r="A911" s="783" t="s">
        <v>441</v>
      </c>
      <c r="B911" s="784"/>
      <c r="C911" s="784"/>
      <c r="D911" s="784"/>
      <c r="E911" s="784"/>
      <c r="F911" s="784"/>
      <c r="G911" s="440">
        <f>SUM(G909:G910)</f>
        <v>55.063408</v>
      </c>
    </row>
    <row r="912" spans="1:7" ht="12.75">
      <c r="A912" s="783" t="s">
        <v>442</v>
      </c>
      <c r="B912" s="784"/>
      <c r="C912" s="784"/>
      <c r="D912" s="784"/>
      <c r="E912" s="784"/>
      <c r="F912" s="784"/>
      <c r="G912" s="440">
        <f>G909*85.16%</f>
        <v>4.4700484</v>
      </c>
    </row>
    <row r="913" spans="1:7" ht="12.75">
      <c r="A913" s="783" t="s">
        <v>443</v>
      </c>
      <c r="B913" s="784"/>
      <c r="C913" s="784"/>
      <c r="D913" s="784"/>
      <c r="E913" s="784"/>
      <c r="F913" s="784"/>
      <c r="G913" s="440">
        <f>G912</f>
        <v>4.4700484</v>
      </c>
    </row>
    <row r="914" spans="1:7" ht="12.75">
      <c r="A914" s="785" t="s">
        <v>444</v>
      </c>
      <c r="B914" s="786"/>
      <c r="C914" s="786"/>
      <c r="D914" s="786"/>
      <c r="E914" s="786"/>
      <c r="F914" s="787"/>
      <c r="G914" s="440">
        <f>G910</f>
        <v>49.814408</v>
      </c>
    </row>
    <row r="915" spans="1:7" ht="12.75">
      <c r="A915" s="785" t="s">
        <v>445</v>
      </c>
      <c r="B915" s="786"/>
      <c r="C915" s="786"/>
      <c r="D915" s="786"/>
      <c r="E915" s="786"/>
      <c r="F915" s="787"/>
      <c r="G915" s="440">
        <f>G909+G913</f>
        <v>9.719048399999998</v>
      </c>
    </row>
    <row r="916" spans="1:7" ht="12.75">
      <c r="A916" s="785" t="s">
        <v>446</v>
      </c>
      <c r="B916" s="786"/>
      <c r="C916" s="786"/>
      <c r="D916" s="786"/>
      <c r="E916" s="786"/>
      <c r="F916" s="787"/>
      <c r="G916" s="440">
        <f>SUM(G914:G915)</f>
        <v>59.5334564</v>
      </c>
    </row>
    <row r="917" spans="1:7" ht="12.75">
      <c r="A917" s="796"/>
      <c r="B917" s="797"/>
      <c r="C917" s="797"/>
      <c r="D917" s="797"/>
      <c r="E917" s="797"/>
      <c r="F917" s="797"/>
      <c r="G917" s="798"/>
    </row>
    <row r="918" spans="1:7" ht="12.75">
      <c r="A918" s="491" t="s">
        <v>83</v>
      </c>
      <c r="B918" s="799" t="s">
        <v>1273</v>
      </c>
      <c r="C918" s="799"/>
      <c r="D918" s="799"/>
      <c r="E918" s="799"/>
      <c r="F918" s="799"/>
      <c r="G918" s="800"/>
    </row>
    <row r="919" spans="1:7" ht="12.75">
      <c r="A919" s="594"/>
      <c r="B919" s="595"/>
      <c r="C919" s="595"/>
      <c r="D919" s="595"/>
      <c r="E919" s="595"/>
      <c r="F919" s="595"/>
      <c r="G919" s="596"/>
    </row>
    <row r="920" spans="1:7" ht="12.75">
      <c r="A920" s="704" t="s">
        <v>1610</v>
      </c>
      <c r="B920" s="704" t="s">
        <v>1611</v>
      </c>
      <c r="C920" s="595"/>
      <c r="D920" s="595"/>
      <c r="E920" s="595"/>
      <c r="F920" s="595"/>
      <c r="G920" s="596"/>
    </row>
    <row r="921" spans="1:7" ht="12.75">
      <c r="A921" s="704" t="s">
        <v>1688</v>
      </c>
      <c r="B921" s="704"/>
      <c r="C921" s="595"/>
      <c r="D921" s="595"/>
      <c r="E921" s="595"/>
      <c r="F921" s="595"/>
      <c r="G921" s="596"/>
    </row>
    <row r="922" spans="1:7" ht="38.25">
      <c r="A922" s="171" t="s">
        <v>956</v>
      </c>
      <c r="B922" s="182" t="s">
        <v>957</v>
      </c>
      <c r="C922" s="172" t="s">
        <v>72</v>
      </c>
      <c r="D922" s="172" t="s">
        <v>82</v>
      </c>
      <c r="E922" s="373"/>
      <c r="F922" s="374"/>
      <c r="G922" s="375"/>
    </row>
    <row r="923" spans="1:7" ht="25.5">
      <c r="A923" s="173" t="s">
        <v>958</v>
      </c>
      <c r="B923" s="174" t="s">
        <v>959</v>
      </c>
      <c r="C923" s="175" t="s">
        <v>73</v>
      </c>
      <c r="D923" s="175" t="s">
        <v>424</v>
      </c>
      <c r="E923" s="434">
        <v>0.135</v>
      </c>
      <c r="F923" s="435">
        <v>0.48</v>
      </c>
      <c r="G923" s="436">
        <f>E923*F923</f>
        <v>0.0648</v>
      </c>
    </row>
    <row r="924" spans="1:7" ht="51">
      <c r="A924" s="173" t="s">
        <v>960</v>
      </c>
      <c r="B924" s="174" t="s">
        <v>961</v>
      </c>
      <c r="C924" s="175" t="s">
        <v>73</v>
      </c>
      <c r="D924" s="175" t="s">
        <v>71</v>
      </c>
      <c r="E924" s="434">
        <v>1</v>
      </c>
      <c r="F924" s="435">
        <v>63.2</v>
      </c>
      <c r="G924" s="436">
        <f>E924*F924</f>
        <v>63.2</v>
      </c>
    </row>
    <row r="925" spans="1:7" ht="25.5">
      <c r="A925" s="173" t="s">
        <v>435</v>
      </c>
      <c r="B925" s="174" t="s">
        <v>436</v>
      </c>
      <c r="C925" s="175" t="s">
        <v>72</v>
      </c>
      <c r="D925" s="175" t="s">
        <v>77</v>
      </c>
      <c r="E925" s="434">
        <v>0.15</v>
      </c>
      <c r="F925" s="435">
        <v>15.09</v>
      </c>
      <c r="G925" s="436">
        <f>E925*F925</f>
        <v>2.2635</v>
      </c>
    </row>
    <row r="926" spans="1:7" ht="25.5">
      <c r="A926" s="173" t="s">
        <v>437</v>
      </c>
      <c r="B926" s="174" t="s">
        <v>438</v>
      </c>
      <c r="C926" s="175" t="s">
        <v>72</v>
      </c>
      <c r="D926" s="175" t="s">
        <v>77</v>
      </c>
      <c r="E926" s="434">
        <v>0.1</v>
      </c>
      <c r="F926" s="435">
        <v>12.64</v>
      </c>
      <c r="G926" s="436">
        <f>E926*F926</f>
        <v>1.2640000000000002</v>
      </c>
    </row>
    <row r="927" spans="1:7" ht="12.75">
      <c r="A927" s="783" t="s">
        <v>439</v>
      </c>
      <c r="B927" s="784"/>
      <c r="C927" s="784"/>
      <c r="D927" s="784"/>
      <c r="E927" s="784"/>
      <c r="F927" s="784"/>
      <c r="G927" s="440">
        <f>SUM(G925:G926)</f>
        <v>3.5275000000000003</v>
      </c>
    </row>
    <row r="928" spans="1:7" ht="12.75">
      <c r="A928" s="783" t="s">
        <v>440</v>
      </c>
      <c r="B928" s="784"/>
      <c r="C928" s="784"/>
      <c r="D928" s="784"/>
      <c r="E928" s="784"/>
      <c r="F928" s="784"/>
      <c r="G928" s="440">
        <f>SUM(G923:G924)</f>
        <v>63.2648</v>
      </c>
    </row>
    <row r="929" spans="1:7" ht="12.75">
      <c r="A929" s="783" t="s">
        <v>441</v>
      </c>
      <c r="B929" s="784"/>
      <c r="C929" s="784"/>
      <c r="D929" s="784"/>
      <c r="E929" s="784"/>
      <c r="F929" s="784"/>
      <c r="G929" s="440">
        <f>SUM(G927:G928)</f>
        <v>66.7923</v>
      </c>
    </row>
    <row r="930" spans="1:7" ht="12.75">
      <c r="A930" s="783" t="s">
        <v>442</v>
      </c>
      <c r="B930" s="784"/>
      <c r="C930" s="784"/>
      <c r="D930" s="784"/>
      <c r="E930" s="784"/>
      <c r="F930" s="784"/>
      <c r="G930" s="440">
        <f>G927*85.16%</f>
        <v>3.004019</v>
      </c>
    </row>
    <row r="931" spans="1:7" ht="12.75">
      <c r="A931" s="783" t="s">
        <v>443</v>
      </c>
      <c r="B931" s="784"/>
      <c r="C931" s="784"/>
      <c r="D931" s="784"/>
      <c r="E931" s="784"/>
      <c r="F931" s="784"/>
      <c r="G931" s="440">
        <f>G930</f>
        <v>3.004019</v>
      </c>
    </row>
    <row r="932" spans="1:7" ht="12.75">
      <c r="A932" s="785" t="s">
        <v>444</v>
      </c>
      <c r="B932" s="786"/>
      <c r="C932" s="786"/>
      <c r="D932" s="786"/>
      <c r="E932" s="786"/>
      <c r="F932" s="787"/>
      <c r="G932" s="440">
        <f>G928</f>
        <v>63.2648</v>
      </c>
    </row>
    <row r="933" spans="1:7" ht="12.75">
      <c r="A933" s="785" t="s">
        <v>445</v>
      </c>
      <c r="B933" s="786"/>
      <c r="C933" s="786"/>
      <c r="D933" s="786"/>
      <c r="E933" s="786"/>
      <c r="F933" s="787"/>
      <c r="G933" s="440">
        <f>G927+G931</f>
        <v>6.531519</v>
      </c>
    </row>
    <row r="934" spans="1:7" ht="12.75">
      <c r="A934" s="785" t="s">
        <v>446</v>
      </c>
      <c r="B934" s="786"/>
      <c r="C934" s="786"/>
      <c r="D934" s="786"/>
      <c r="E934" s="786"/>
      <c r="F934" s="787"/>
      <c r="G934" s="440">
        <f>SUM(G932:G933)</f>
        <v>69.796319</v>
      </c>
    </row>
    <row r="935" spans="1:7" ht="12.75">
      <c r="A935" s="796"/>
      <c r="B935" s="797"/>
      <c r="C935" s="797"/>
      <c r="D935" s="797"/>
      <c r="E935" s="797"/>
      <c r="F935" s="797"/>
      <c r="G935" s="798"/>
    </row>
    <row r="936" spans="1:7" ht="12.75">
      <c r="A936" s="491" t="s">
        <v>83</v>
      </c>
      <c r="B936" s="799" t="s">
        <v>1274</v>
      </c>
      <c r="C936" s="799"/>
      <c r="D936" s="799"/>
      <c r="E936" s="799"/>
      <c r="F936" s="799"/>
      <c r="G936" s="800"/>
    </row>
    <row r="937" spans="1:7" ht="12.75">
      <c r="A937" s="804"/>
      <c r="B937" s="805"/>
      <c r="C937" s="805"/>
      <c r="D937" s="805"/>
      <c r="E937" s="805"/>
      <c r="F937" s="805"/>
      <c r="G937" s="806"/>
    </row>
    <row r="938" spans="1:7" ht="12.75">
      <c r="A938" s="704" t="s">
        <v>1612</v>
      </c>
      <c r="B938" s="704" t="s">
        <v>1453</v>
      </c>
      <c r="C938" s="595"/>
      <c r="D938" s="595"/>
      <c r="E938" s="595"/>
      <c r="F938" s="595"/>
      <c r="G938" s="596"/>
    </row>
    <row r="939" spans="1:7" ht="12.75">
      <c r="A939" s="704" t="s">
        <v>1613</v>
      </c>
      <c r="B939" s="704" t="s">
        <v>1686</v>
      </c>
      <c r="C939" s="595"/>
      <c r="D939" s="595"/>
      <c r="E939" s="595"/>
      <c r="F939" s="595"/>
      <c r="G939" s="596"/>
    </row>
    <row r="940" spans="1:7" ht="12.75">
      <c r="A940" s="704" t="s">
        <v>1684</v>
      </c>
      <c r="B940" s="704"/>
      <c r="C940" s="595"/>
      <c r="D940" s="595"/>
      <c r="E940" s="595"/>
      <c r="F940" s="595"/>
      <c r="G940" s="596"/>
    </row>
    <row r="941" spans="1:7" ht="51">
      <c r="A941" s="171" t="s">
        <v>530</v>
      </c>
      <c r="B941" s="182" t="s">
        <v>531</v>
      </c>
      <c r="C941" s="172" t="s">
        <v>72</v>
      </c>
      <c r="D941" s="172" t="s">
        <v>82</v>
      </c>
      <c r="E941" s="373"/>
      <c r="F941" s="374"/>
      <c r="G941" s="375"/>
    </row>
    <row r="942" spans="1:7" ht="76.5">
      <c r="A942" s="173" t="s">
        <v>532</v>
      </c>
      <c r="B942" s="174" t="s">
        <v>533</v>
      </c>
      <c r="C942" s="175" t="s">
        <v>73</v>
      </c>
      <c r="D942" s="175" t="s">
        <v>424</v>
      </c>
      <c r="E942" s="434">
        <v>1.02</v>
      </c>
      <c r="F942" s="435">
        <v>10.18</v>
      </c>
      <c r="G942" s="436">
        <f>E942*F942</f>
        <v>10.3836</v>
      </c>
    </row>
    <row r="943" spans="1:7" ht="25.5">
      <c r="A943" s="173" t="s">
        <v>449</v>
      </c>
      <c r="B943" s="174" t="s">
        <v>450</v>
      </c>
      <c r="C943" s="175" t="s">
        <v>72</v>
      </c>
      <c r="D943" s="175" t="s">
        <v>77</v>
      </c>
      <c r="E943" s="434">
        <v>1</v>
      </c>
      <c r="F943" s="435">
        <v>14.57</v>
      </c>
      <c r="G943" s="436">
        <f>E943*F943</f>
        <v>14.57</v>
      </c>
    </row>
    <row r="944" spans="1:7" ht="25.5">
      <c r="A944" s="173" t="s">
        <v>437</v>
      </c>
      <c r="B944" s="174" t="s">
        <v>438</v>
      </c>
      <c r="C944" s="175" t="s">
        <v>72</v>
      </c>
      <c r="D944" s="175" t="s">
        <v>77</v>
      </c>
      <c r="E944" s="434">
        <v>0.4</v>
      </c>
      <c r="F944" s="435">
        <v>12.64</v>
      </c>
      <c r="G944" s="436">
        <f>E944*F944</f>
        <v>5.056000000000001</v>
      </c>
    </row>
    <row r="945" spans="1:7" ht="12.75">
      <c r="A945" s="783" t="s">
        <v>439</v>
      </c>
      <c r="B945" s="784"/>
      <c r="C945" s="784"/>
      <c r="D945" s="784"/>
      <c r="E945" s="784"/>
      <c r="F945" s="784"/>
      <c r="G945" s="440">
        <f>SUM(G943:G944)</f>
        <v>19.626</v>
      </c>
    </row>
    <row r="946" spans="1:7" ht="12.75">
      <c r="A946" s="783" t="s">
        <v>440</v>
      </c>
      <c r="B946" s="784"/>
      <c r="C946" s="784"/>
      <c r="D946" s="784"/>
      <c r="E946" s="784"/>
      <c r="F946" s="784"/>
      <c r="G946" s="440">
        <f>SUM(G942)</f>
        <v>10.3836</v>
      </c>
    </row>
    <row r="947" spans="1:7" ht="12.75">
      <c r="A947" s="783" t="s">
        <v>441</v>
      </c>
      <c r="B947" s="784"/>
      <c r="C947" s="784"/>
      <c r="D947" s="784"/>
      <c r="E947" s="784"/>
      <c r="F947" s="784"/>
      <c r="G947" s="440">
        <f>SUM(G945:G946)</f>
        <v>30.0096</v>
      </c>
    </row>
    <row r="948" spans="1:7" ht="12.75">
      <c r="A948" s="783" t="s">
        <v>442</v>
      </c>
      <c r="B948" s="784"/>
      <c r="C948" s="784"/>
      <c r="D948" s="784"/>
      <c r="E948" s="784"/>
      <c r="F948" s="784"/>
      <c r="G948" s="440">
        <f>G945*85.16%</f>
        <v>16.7135016</v>
      </c>
    </row>
    <row r="949" spans="1:7" ht="12.75">
      <c r="A949" s="783" t="s">
        <v>443</v>
      </c>
      <c r="B949" s="784"/>
      <c r="C949" s="784"/>
      <c r="D949" s="784"/>
      <c r="E949" s="784"/>
      <c r="F949" s="784"/>
      <c r="G949" s="440">
        <f>G948</f>
        <v>16.7135016</v>
      </c>
    </row>
    <row r="950" spans="1:7" ht="12.75">
      <c r="A950" s="785" t="s">
        <v>444</v>
      </c>
      <c r="B950" s="786"/>
      <c r="C950" s="786"/>
      <c r="D950" s="786"/>
      <c r="E950" s="786"/>
      <c r="F950" s="787"/>
      <c r="G950" s="440">
        <f>G946</f>
        <v>10.3836</v>
      </c>
    </row>
    <row r="951" spans="1:7" ht="12.75">
      <c r="A951" s="785" t="s">
        <v>445</v>
      </c>
      <c r="B951" s="786"/>
      <c r="C951" s="786"/>
      <c r="D951" s="786"/>
      <c r="E951" s="786"/>
      <c r="F951" s="787"/>
      <c r="G951" s="440">
        <f>G945+G949</f>
        <v>36.339501600000006</v>
      </c>
    </row>
    <row r="952" spans="1:7" ht="12.75">
      <c r="A952" s="785" t="s">
        <v>446</v>
      </c>
      <c r="B952" s="786"/>
      <c r="C952" s="786"/>
      <c r="D952" s="786"/>
      <c r="E952" s="786"/>
      <c r="F952" s="787"/>
      <c r="G952" s="440">
        <f>SUM(G950:G951)</f>
        <v>46.72310160000001</v>
      </c>
    </row>
    <row r="953" spans="1:7" ht="12.75">
      <c r="A953" s="796"/>
      <c r="B953" s="797"/>
      <c r="C953" s="797"/>
      <c r="D953" s="797"/>
      <c r="E953" s="797"/>
      <c r="F953" s="797"/>
      <c r="G953" s="798"/>
    </row>
    <row r="954" spans="1:7" ht="12.75">
      <c r="A954" s="804"/>
      <c r="B954" s="805"/>
      <c r="C954" s="805"/>
      <c r="D954" s="805"/>
      <c r="E954" s="805"/>
      <c r="F954" s="805"/>
      <c r="G954" s="806"/>
    </row>
    <row r="955" spans="1:7" ht="12.75">
      <c r="A955" s="704" t="s">
        <v>1685</v>
      </c>
      <c r="B955" s="595"/>
      <c r="C955" s="595"/>
      <c r="D955" s="595"/>
      <c r="E955" s="595"/>
      <c r="F955" s="595"/>
      <c r="G955" s="596"/>
    </row>
    <row r="956" spans="1:7" ht="38.25">
      <c r="A956" s="171" t="s">
        <v>522</v>
      </c>
      <c r="B956" s="182" t="s">
        <v>523</v>
      </c>
      <c r="C956" s="172" t="s">
        <v>72</v>
      </c>
      <c r="D956" s="172" t="s">
        <v>4</v>
      </c>
      <c r="E956" s="373"/>
      <c r="F956" s="374"/>
      <c r="G956" s="375"/>
    </row>
    <row r="957" spans="1:7" ht="12.75">
      <c r="A957" s="173" t="s">
        <v>524</v>
      </c>
      <c r="B957" s="174" t="s">
        <v>525</v>
      </c>
      <c r="C957" s="175" t="s">
        <v>73</v>
      </c>
      <c r="D957" s="175" t="s">
        <v>424</v>
      </c>
      <c r="E957" s="434">
        <v>9.45</v>
      </c>
      <c r="F957" s="435">
        <v>0.47</v>
      </c>
      <c r="G957" s="436">
        <f>E957*F957</f>
        <v>4.4415</v>
      </c>
    </row>
    <row r="958" spans="1:7" ht="38.25">
      <c r="A958" s="173" t="s">
        <v>526</v>
      </c>
      <c r="B958" s="174" t="s">
        <v>527</v>
      </c>
      <c r="C958" s="175" t="s">
        <v>73</v>
      </c>
      <c r="D958" s="175" t="s">
        <v>477</v>
      </c>
      <c r="E958" s="434">
        <v>0.023</v>
      </c>
      <c r="F958" s="435">
        <v>57.92</v>
      </c>
      <c r="G958" s="436">
        <f>E958*F958</f>
        <v>1.33216</v>
      </c>
    </row>
    <row r="959" spans="1:7" ht="12.75">
      <c r="A959" s="173" t="s">
        <v>528</v>
      </c>
      <c r="B959" s="174" t="s">
        <v>529</v>
      </c>
      <c r="C959" s="175" t="s">
        <v>73</v>
      </c>
      <c r="D959" s="175" t="s">
        <v>82</v>
      </c>
      <c r="E959" s="434">
        <v>1.15</v>
      </c>
      <c r="F959" s="435">
        <v>3.41</v>
      </c>
      <c r="G959" s="436">
        <f>E959*F959</f>
        <v>3.9215</v>
      </c>
    </row>
    <row r="960" spans="1:7" ht="25.5">
      <c r="A960" s="173" t="s">
        <v>449</v>
      </c>
      <c r="B960" s="174" t="s">
        <v>450</v>
      </c>
      <c r="C960" s="175" t="s">
        <v>72</v>
      </c>
      <c r="D960" s="175" t="s">
        <v>77</v>
      </c>
      <c r="E960" s="434">
        <v>0.5</v>
      </c>
      <c r="F960" s="435">
        <v>14.57</v>
      </c>
      <c r="G960" s="436">
        <f>E960*F960</f>
        <v>7.285</v>
      </c>
    </row>
    <row r="961" spans="1:7" ht="25.5">
      <c r="A961" s="173" t="s">
        <v>437</v>
      </c>
      <c r="B961" s="174" t="s">
        <v>438</v>
      </c>
      <c r="C961" s="175" t="s">
        <v>72</v>
      </c>
      <c r="D961" s="175" t="s">
        <v>77</v>
      </c>
      <c r="E961" s="434">
        <v>0.8</v>
      </c>
      <c r="F961" s="435">
        <v>12.64</v>
      </c>
      <c r="G961" s="436">
        <f>E961*F961</f>
        <v>10.112000000000002</v>
      </c>
    </row>
    <row r="962" spans="1:7" ht="12.75">
      <c r="A962" s="783" t="s">
        <v>439</v>
      </c>
      <c r="B962" s="784"/>
      <c r="C962" s="784"/>
      <c r="D962" s="784"/>
      <c r="E962" s="784"/>
      <c r="F962" s="784"/>
      <c r="G962" s="440">
        <f>SUM(G960:G961)</f>
        <v>17.397000000000002</v>
      </c>
    </row>
    <row r="963" spans="1:7" ht="12.75">
      <c r="A963" s="783" t="s">
        <v>440</v>
      </c>
      <c r="B963" s="784"/>
      <c r="C963" s="784"/>
      <c r="D963" s="784"/>
      <c r="E963" s="784"/>
      <c r="F963" s="784"/>
      <c r="G963" s="440">
        <f>SUM(G957:G959)</f>
        <v>9.69516</v>
      </c>
    </row>
    <row r="964" spans="1:7" ht="12.75">
      <c r="A964" s="783" t="s">
        <v>441</v>
      </c>
      <c r="B964" s="784"/>
      <c r="C964" s="784"/>
      <c r="D964" s="784"/>
      <c r="E964" s="784"/>
      <c r="F964" s="784"/>
      <c r="G964" s="440">
        <f>SUM(G962:G963)</f>
        <v>27.09216</v>
      </c>
    </row>
    <row r="965" spans="1:7" ht="12.75">
      <c r="A965" s="783" t="s">
        <v>442</v>
      </c>
      <c r="B965" s="784"/>
      <c r="C965" s="784"/>
      <c r="D965" s="784"/>
      <c r="E965" s="784"/>
      <c r="F965" s="784"/>
      <c r="G965" s="440">
        <f>G962*85.16%</f>
        <v>14.8152852</v>
      </c>
    </row>
    <row r="966" spans="1:7" ht="12.75">
      <c r="A966" s="783" t="s">
        <v>443</v>
      </c>
      <c r="B966" s="784"/>
      <c r="C966" s="784"/>
      <c r="D966" s="784"/>
      <c r="E966" s="784"/>
      <c r="F966" s="784"/>
      <c r="G966" s="440">
        <f>G965</f>
        <v>14.8152852</v>
      </c>
    </row>
    <row r="967" spans="1:7" ht="12.75">
      <c r="A967" s="785" t="s">
        <v>444</v>
      </c>
      <c r="B967" s="786"/>
      <c r="C967" s="786"/>
      <c r="D967" s="786"/>
      <c r="E967" s="786"/>
      <c r="F967" s="787"/>
      <c r="G967" s="440">
        <f>G963</f>
        <v>9.69516</v>
      </c>
    </row>
    <row r="968" spans="1:7" ht="12.75">
      <c r="A968" s="785" t="s">
        <v>445</v>
      </c>
      <c r="B968" s="786"/>
      <c r="C968" s="786"/>
      <c r="D968" s="786"/>
      <c r="E968" s="786"/>
      <c r="F968" s="787"/>
      <c r="G968" s="440">
        <f>G962+G966</f>
        <v>32.212285200000004</v>
      </c>
    </row>
    <row r="969" spans="1:7" ht="12.75">
      <c r="A969" s="785" t="s">
        <v>446</v>
      </c>
      <c r="B969" s="786"/>
      <c r="C969" s="786"/>
      <c r="D969" s="786"/>
      <c r="E969" s="786"/>
      <c r="F969" s="787"/>
      <c r="G969" s="440">
        <f>SUM(G967:G968)</f>
        <v>41.907445200000005</v>
      </c>
    </row>
    <row r="970" spans="1:7" ht="12.75">
      <c r="A970" s="796"/>
      <c r="B970" s="797"/>
      <c r="C970" s="797"/>
      <c r="D970" s="797"/>
      <c r="E970" s="797"/>
      <c r="F970" s="797"/>
      <c r="G970" s="798"/>
    </row>
    <row r="971" spans="1:7" ht="12.75">
      <c r="A971" s="491" t="s">
        <v>83</v>
      </c>
      <c r="B971" s="799" t="s">
        <v>1275</v>
      </c>
      <c r="C971" s="799"/>
      <c r="D971" s="799"/>
      <c r="E971" s="799"/>
      <c r="F971" s="799"/>
      <c r="G971" s="800"/>
    </row>
    <row r="972" spans="1:7" ht="12.75">
      <c r="A972" s="804"/>
      <c r="B972" s="805"/>
      <c r="C972" s="805"/>
      <c r="D972" s="805"/>
      <c r="E972" s="805"/>
      <c r="F972" s="805"/>
      <c r="G972" s="806"/>
    </row>
    <row r="973" spans="1:7" ht="12.75">
      <c r="A973" s="170"/>
      <c r="B973" s="597"/>
      <c r="C973" s="597"/>
      <c r="D973" s="597"/>
      <c r="E973" s="597"/>
      <c r="F973" s="597"/>
      <c r="G973" s="598"/>
    </row>
    <row r="974" spans="1:7" ht="12.75">
      <c r="A974" s="170" t="s">
        <v>1451</v>
      </c>
      <c r="B974" s="597" t="s">
        <v>1450</v>
      </c>
      <c r="C974" s="597"/>
      <c r="D974" s="597"/>
      <c r="E974" s="597"/>
      <c r="F974" s="597"/>
      <c r="G974" s="598"/>
    </row>
    <row r="975" spans="1:7" ht="12.75">
      <c r="A975" s="170" t="s">
        <v>1617</v>
      </c>
      <c r="B975" s="597"/>
      <c r="C975" s="597"/>
      <c r="D975" s="597"/>
      <c r="E975" s="597"/>
      <c r="F975" s="597"/>
      <c r="G975" s="598"/>
    </row>
    <row r="976" spans="1:7" ht="63.75">
      <c r="A976" s="171" t="s">
        <v>934</v>
      </c>
      <c r="B976" s="182" t="s">
        <v>935</v>
      </c>
      <c r="C976" s="172" t="s">
        <v>72</v>
      </c>
      <c r="D976" s="172" t="s">
        <v>82</v>
      </c>
      <c r="E976" s="373"/>
      <c r="F976" s="374"/>
      <c r="G976" s="375"/>
    </row>
    <row r="977" spans="1:7" ht="25.5">
      <c r="A977" s="173" t="s">
        <v>449</v>
      </c>
      <c r="B977" s="174" t="s">
        <v>450</v>
      </c>
      <c r="C977" s="175" t="s">
        <v>72</v>
      </c>
      <c r="D977" s="175" t="s">
        <v>77</v>
      </c>
      <c r="E977" s="434">
        <v>0.8</v>
      </c>
      <c r="F977" s="435">
        <v>15.14</v>
      </c>
      <c r="G977" s="436">
        <f>E977*F977</f>
        <v>12.112000000000002</v>
      </c>
    </row>
    <row r="978" spans="1:7" ht="25.5">
      <c r="A978" s="173" t="s">
        <v>437</v>
      </c>
      <c r="B978" s="174" t="s">
        <v>438</v>
      </c>
      <c r="C978" s="175" t="s">
        <v>72</v>
      </c>
      <c r="D978" s="175" t="s">
        <v>77</v>
      </c>
      <c r="E978" s="434">
        <v>0.803</v>
      </c>
      <c r="F978" s="435">
        <v>12.64</v>
      </c>
      <c r="G978" s="436">
        <f>E978*F978</f>
        <v>10.149920000000002</v>
      </c>
    </row>
    <row r="979" spans="1:7" ht="38.25">
      <c r="A979" s="173" t="s">
        <v>936</v>
      </c>
      <c r="B979" s="174" t="s">
        <v>937</v>
      </c>
      <c r="C979" s="175" t="s">
        <v>72</v>
      </c>
      <c r="D979" s="175" t="s">
        <v>477</v>
      </c>
      <c r="E979" s="434">
        <v>0.015</v>
      </c>
      <c r="F979" s="435">
        <v>321.93</v>
      </c>
      <c r="G979" s="436">
        <f>E979*F979</f>
        <v>4.82895</v>
      </c>
    </row>
    <row r="980" spans="1:7" ht="12.75">
      <c r="A980" s="785" t="s">
        <v>439</v>
      </c>
      <c r="B980" s="786"/>
      <c r="C980" s="786"/>
      <c r="D980" s="786"/>
      <c r="E980" s="786"/>
      <c r="F980" s="787"/>
      <c r="G980" s="440">
        <f>SUM(G977:G978)</f>
        <v>22.261920000000003</v>
      </c>
    </row>
    <row r="981" spans="1:7" ht="12.75">
      <c r="A981" s="785" t="s">
        <v>440</v>
      </c>
      <c r="B981" s="786"/>
      <c r="C981" s="786"/>
      <c r="D981" s="786"/>
      <c r="E981" s="786"/>
      <c r="F981" s="787"/>
      <c r="G981" s="440">
        <f>SUM(G979)</f>
        <v>4.82895</v>
      </c>
    </row>
    <row r="982" spans="1:7" ht="12.75">
      <c r="A982" s="785" t="s">
        <v>441</v>
      </c>
      <c r="B982" s="786"/>
      <c r="C982" s="786"/>
      <c r="D982" s="786"/>
      <c r="E982" s="786"/>
      <c r="F982" s="787"/>
      <c r="G982" s="440">
        <f>SUM(G980:G981)</f>
        <v>27.090870000000002</v>
      </c>
    </row>
    <row r="983" spans="1:7" ht="12.75">
      <c r="A983" s="785" t="s">
        <v>442</v>
      </c>
      <c r="B983" s="786"/>
      <c r="C983" s="786"/>
      <c r="D983" s="786"/>
      <c r="E983" s="786"/>
      <c r="F983" s="787"/>
      <c r="G983" s="440">
        <f>G980*85.16%</f>
        <v>18.958251072</v>
      </c>
    </row>
    <row r="984" spans="1:7" ht="12.75">
      <c r="A984" s="785" t="s">
        <v>443</v>
      </c>
      <c r="B984" s="786"/>
      <c r="C984" s="786"/>
      <c r="D984" s="786"/>
      <c r="E984" s="786"/>
      <c r="F984" s="787"/>
      <c r="G984" s="440">
        <f>G983</f>
        <v>18.958251072</v>
      </c>
    </row>
    <row r="985" spans="1:7" ht="12.75">
      <c r="A985" s="785" t="s">
        <v>444</v>
      </c>
      <c r="B985" s="786"/>
      <c r="C985" s="786"/>
      <c r="D985" s="786"/>
      <c r="E985" s="786"/>
      <c r="F985" s="787"/>
      <c r="G985" s="440">
        <f>G981</f>
        <v>4.82895</v>
      </c>
    </row>
    <row r="986" spans="1:7" ht="12.75">
      <c r="A986" s="785" t="s">
        <v>445</v>
      </c>
      <c r="B986" s="786"/>
      <c r="C986" s="786"/>
      <c r="D986" s="786"/>
      <c r="E986" s="786"/>
      <c r="F986" s="787"/>
      <c r="G986" s="440">
        <f>G980+G984</f>
        <v>41.220171072</v>
      </c>
    </row>
    <row r="987" spans="1:7" ht="12.75">
      <c r="A987" s="785" t="s">
        <v>446</v>
      </c>
      <c r="B987" s="786"/>
      <c r="C987" s="786"/>
      <c r="D987" s="786"/>
      <c r="E987" s="786"/>
      <c r="F987" s="787"/>
      <c r="G987" s="440">
        <f>SUM(G985:G986)</f>
        <v>46.049121072</v>
      </c>
    </row>
    <row r="988" spans="1:7" ht="12.75">
      <c r="A988" s="823"/>
      <c r="B988" s="824"/>
      <c r="C988" s="824"/>
      <c r="D988" s="824"/>
      <c r="E988" s="824"/>
      <c r="F988" s="824"/>
      <c r="G988" s="825"/>
    </row>
    <row r="989" spans="1:7" ht="12.75">
      <c r="A989" s="170" t="s">
        <v>1559</v>
      </c>
      <c r="B989" s="170" t="s">
        <v>1560</v>
      </c>
      <c r="C989" s="179"/>
      <c r="D989" s="179"/>
      <c r="E989" s="179"/>
      <c r="F989" s="179"/>
      <c r="G989" s="710"/>
    </row>
    <row r="990" spans="1:7" ht="12.75">
      <c r="A990" s="170" t="s">
        <v>1563</v>
      </c>
      <c r="B990" s="170" t="s">
        <v>1564</v>
      </c>
      <c r="C990" s="708"/>
      <c r="D990" s="708"/>
      <c r="E990" s="708"/>
      <c r="F990" s="708"/>
      <c r="G990" s="709"/>
    </row>
    <row r="991" spans="1:7" ht="12.75">
      <c r="A991" s="170" t="s">
        <v>1720</v>
      </c>
      <c r="B991" s="170"/>
      <c r="C991" s="708"/>
      <c r="D991" s="708"/>
      <c r="E991" s="708"/>
      <c r="F991" s="708"/>
      <c r="G991" s="709"/>
    </row>
    <row r="992" spans="1:7" ht="51">
      <c r="A992" s="171" t="s">
        <v>1014</v>
      </c>
      <c r="B992" s="182" t="s">
        <v>1015</v>
      </c>
      <c r="C992" s="172" t="s">
        <v>72</v>
      </c>
      <c r="D992" s="172" t="s">
        <v>75</v>
      </c>
      <c r="E992" s="373"/>
      <c r="F992" s="374"/>
      <c r="G992" s="375"/>
    </row>
    <row r="993" spans="1:7" ht="25.5">
      <c r="A993" s="173" t="s">
        <v>1016</v>
      </c>
      <c r="B993" s="174" t="s">
        <v>1017</v>
      </c>
      <c r="C993" s="175" t="s">
        <v>73</v>
      </c>
      <c r="D993" s="175" t="s">
        <v>75</v>
      </c>
      <c r="E993" s="434">
        <v>1</v>
      </c>
      <c r="F993" s="435">
        <v>127</v>
      </c>
      <c r="G993" s="436">
        <f aca="true" t="shared" si="6" ref="G993:G998">E993*F993</f>
        <v>127</v>
      </c>
    </row>
    <row r="994" spans="1:7" ht="12.75">
      <c r="A994" s="173" t="s">
        <v>1018</v>
      </c>
      <c r="B994" s="174" t="s">
        <v>1019</v>
      </c>
      <c r="C994" s="175" t="s">
        <v>73</v>
      </c>
      <c r="D994" s="175" t="s">
        <v>424</v>
      </c>
      <c r="E994" s="434">
        <v>0.1469</v>
      </c>
      <c r="F994" s="435">
        <v>42.53</v>
      </c>
      <c r="G994" s="436">
        <f t="shared" si="6"/>
        <v>6.247657</v>
      </c>
    </row>
    <row r="995" spans="1:7" ht="63.75">
      <c r="A995" s="173" t="s">
        <v>1020</v>
      </c>
      <c r="B995" s="174" t="s">
        <v>1021</v>
      </c>
      <c r="C995" s="175" t="s">
        <v>73</v>
      </c>
      <c r="D995" s="175" t="s">
        <v>75</v>
      </c>
      <c r="E995" s="434">
        <v>2</v>
      </c>
      <c r="F995" s="435">
        <v>9.14</v>
      </c>
      <c r="G995" s="436">
        <f t="shared" si="6"/>
        <v>18.28</v>
      </c>
    </row>
    <row r="996" spans="1:7" ht="25.5">
      <c r="A996" s="173" t="s">
        <v>1022</v>
      </c>
      <c r="B996" s="174" t="s">
        <v>1023</v>
      </c>
      <c r="C996" s="175" t="s">
        <v>73</v>
      </c>
      <c r="D996" s="175" t="s">
        <v>75</v>
      </c>
      <c r="E996" s="434">
        <v>1</v>
      </c>
      <c r="F996" s="435">
        <v>2.16</v>
      </c>
      <c r="G996" s="436">
        <f t="shared" si="6"/>
        <v>2.16</v>
      </c>
    </row>
    <row r="997" spans="1:7" ht="25.5">
      <c r="A997" s="173" t="s">
        <v>494</v>
      </c>
      <c r="B997" s="174" t="s">
        <v>495</v>
      </c>
      <c r="C997" s="175" t="s">
        <v>72</v>
      </c>
      <c r="D997" s="175" t="s">
        <v>77</v>
      </c>
      <c r="E997" s="434">
        <v>0.78</v>
      </c>
      <c r="F997" s="435">
        <v>15.12</v>
      </c>
      <c r="G997" s="436">
        <f t="shared" si="6"/>
        <v>11.7936</v>
      </c>
    </row>
    <row r="998" spans="1:7" ht="25.5">
      <c r="A998" s="173" t="s">
        <v>437</v>
      </c>
      <c r="B998" s="174" t="s">
        <v>438</v>
      </c>
      <c r="C998" s="175" t="s">
        <v>72</v>
      </c>
      <c r="D998" s="175" t="s">
        <v>77</v>
      </c>
      <c r="E998" s="434">
        <v>0.44</v>
      </c>
      <c r="F998" s="435">
        <v>12.64</v>
      </c>
      <c r="G998" s="436">
        <f t="shared" si="6"/>
        <v>5.5616</v>
      </c>
    </row>
    <row r="999" spans="1:7" ht="12.75">
      <c r="A999" s="783" t="s">
        <v>439</v>
      </c>
      <c r="B999" s="784"/>
      <c r="C999" s="784"/>
      <c r="D999" s="784"/>
      <c r="E999" s="784"/>
      <c r="F999" s="784"/>
      <c r="G999" s="440">
        <f>SUM(G997:G998)</f>
        <v>17.3552</v>
      </c>
    </row>
    <row r="1000" spans="1:7" ht="12.75">
      <c r="A1000" s="783" t="s">
        <v>440</v>
      </c>
      <c r="B1000" s="784"/>
      <c r="C1000" s="784"/>
      <c r="D1000" s="784"/>
      <c r="E1000" s="784"/>
      <c r="F1000" s="784"/>
      <c r="G1000" s="440">
        <f>SUM(G993:G996)</f>
        <v>153.687657</v>
      </c>
    </row>
    <row r="1001" spans="1:7" ht="12.75">
      <c r="A1001" s="783" t="s">
        <v>441</v>
      </c>
      <c r="B1001" s="784"/>
      <c r="C1001" s="784"/>
      <c r="D1001" s="784"/>
      <c r="E1001" s="784"/>
      <c r="F1001" s="784"/>
      <c r="G1001" s="440">
        <f>SUM(G999:G1000)</f>
        <v>171.042857</v>
      </c>
    </row>
    <row r="1002" spans="1:7" ht="12.75">
      <c r="A1002" s="783" t="s">
        <v>442</v>
      </c>
      <c r="B1002" s="784"/>
      <c r="C1002" s="784"/>
      <c r="D1002" s="784"/>
      <c r="E1002" s="784"/>
      <c r="F1002" s="784"/>
      <c r="G1002" s="440">
        <f>G999*85.16%</f>
        <v>14.779688319999998</v>
      </c>
    </row>
    <row r="1003" spans="1:7" ht="12.75">
      <c r="A1003" s="783" t="s">
        <v>443</v>
      </c>
      <c r="B1003" s="784"/>
      <c r="C1003" s="784"/>
      <c r="D1003" s="784"/>
      <c r="E1003" s="784"/>
      <c r="F1003" s="784"/>
      <c r="G1003" s="440">
        <f>G1002</f>
        <v>14.779688319999998</v>
      </c>
    </row>
    <row r="1004" spans="1:7" ht="12.75">
      <c r="A1004" s="785" t="s">
        <v>444</v>
      </c>
      <c r="B1004" s="786"/>
      <c r="C1004" s="786"/>
      <c r="D1004" s="786"/>
      <c r="E1004" s="786"/>
      <c r="F1004" s="787"/>
      <c r="G1004" s="440">
        <f>G1000</f>
        <v>153.687657</v>
      </c>
    </row>
    <row r="1005" spans="1:7" ht="12.75">
      <c r="A1005" s="785" t="s">
        <v>445</v>
      </c>
      <c r="B1005" s="786"/>
      <c r="C1005" s="786"/>
      <c r="D1005" s="786"/>
      <c r="E1005" s="786"/>
      <c r="F1005" s="787"/>
      <c r="G1005" s="440">
        <f>G999+G1003</f>
        <v>32.13488832</v>
      </c>
    </row>
    <row r="1006" spans="1:7" ht="12.75">
      <c r="A1006" s="785" t="s">
        <v>446</v>
      </c>
      <c r="B1006" s="786"/>
      <c r="C1006" s="786"/>
      <c r="D1006" s="786"/>
      <c r="E1006" s="786"/>
      <c r="F1006" s="787"/>
      <c r="G1006" s="440">
        <f>SUM(G1004:G1005)</f>
        <v>185.82254532000002</v>
      </c>
    </row>
    <row r="1007" spans="1:7" ht="12.75">
      <c r="A1007" s="796"/>
      <c r="B1007" s="797"/>
      <c r="C1007" s="797"/>
      <c r="D1007" s="797"/>
      <c r="E1007" s="797"/>
      <c r="F1007" s="797"/>
      <c r="G1007" s="798"/>
    </row>
    <row r="1008" spans="1:7" ht="12.75">
      <c r="A1008" s="704" t="s">
        <v>1723</v>
      </c>
      <c r="B1008" s="595"/>
      <c r="C1008" s="595"/>
      <c r="D1008" s="595"/>
      <c r="E1008" s="595"/>
      <c r="F1008" s="595"/>
      <c r="G1008" s="596"/>
    </row>
    <row r="1009" spans="1:7" ht="25.5">
      <c r="A1009" s="171" t="s">
        <v>990</v>
      </c>
      <c r="B1009" s="182" t="s">
        <v>991</v>
      </c>
      <c r="C1009" s="172" t="s">
        <v>72</v>
      </c>
      <c r="D1009" s="172" t="s">
        <v>75</v>
      </c>
      <c r="E1009" s="373"/>
      <c r="F1009" s="374"/>
      <c r="G1009" s="375"/>
    </row>
    <row r="1010" spans="1:7" ht="25.5">
      <c r="A1010" s="173" t="s">
        <v>992</v>
      </c>
      <c r="B1010" s="174" t="s">
        <v>993</v>
      </c>
      <c r="C1010" s="175" t="s">
        <v>73</v>
      </c>
      <c r="D1010" s="175" t="s">
        <v>75</v>
      </c>
      <c r="E1010" s="434">
        <v>1</v>
      </c>
      <c r="F1010" s="435">
        <v>24</v>
      </c>
      <c r="G1010" s="436">
        <f>E1010*F1010</f>
        <v>24</v>
      </c>
    </row>
    <row r="1011" spans="1:7" ht="38.25">
      <c r="A1011" s="173" t="s">
        <v>492</v>
      </c>
      <c r="B1011" s="174" t="s">
        <v>493</v>
      </c>
      <c r="C1011" s="175" t="s">
        <v>72</v>
      </c>
      <c r="D1011" s="175" t="s">
        <v>77</v>
      </c>
      <c r="E1011" s="434">
        <v>0.1</v>
      </c>
      <c r="F1011" s="435">
        <v>12.86</v>
      </c>
      <c r="G1011" s="436">
        <f>E1011*F1011</f>
        <v>1.286</v>
      </c>
    </row>
    <row r="1012" spans="1:7" ht="25.5">
      <c r="A1012" s="173" t="s">
        <v>494</v>
      </c>
      <c r="B1012" s="174" t="s">
        <v>495</v>
      </c>
      <c r="C1012" s="175" t="s">
        <v>72</v>
      </c>
      <c r="D1012" s="175" t="s">
        <v>77</v>
      </c>
      <c r="E1012" s="434">
        <v>0.1</v>
      </c>
      <c r="F1012" s="435">
        <v>15.12</v>
      </c>
      <c r="G1012" s="436">
        <f>E1012*F1012</f>
        <v>1.512</v>
      </c>
    </row>
    <row r="1013" spans="1:7" ht="12.75">
      <c r="A1013" s="783" t="s">
        <v>439</v>
      </c>
      <c r="B1013" s="784"/>
      <c r="C1013" s="784"/>
      <c r="D1013" s="784"/>
      <c r="E1013" s="784"/>
      <c r="F1013" s="784"/>
      <c r="G1013" s="440">
        <f>SUM(G1011:G1012)</f>
        <v>2.798</v>
      </c>
    </row>
    <row r="1014" spans="1:7" ht="12.75">
      <c r="A1014" s="783" t="s">
        <v>440</v>
      </c>
      <c r="B1014" s="784"/>
      <c r="C1014" s="784"/>
      <c r="D1014" s="784"/>
      <c r="E1014" s="784"/>
      <c r="F1014" s="784"/>
      <c r="G1014" s="440">
        <f>SUM(G1010)</f>
        <v>24</v>
      </c>
    </row>
    <row r="1015" spans="1:7" ht="12.75">
      <c r="A1015" s="783" t="s">
        <v>441</v>
      </c>
      <c r="B1015" s="784"/>
      <c r="C1015" s="784"/>
      <c r="D1015" s="784"/>
      <c r="E1015" s="784"/>
      <c r="F1015" s="784"/>
      <c r="G1015" s="440">
        <f>SUM(G1013:G1014)</f>
        <v>26.798000000000002</v>
      </c>
    </row>
    <row r="1016" spans="1:7" ht="12.75">
      <c r="A1016" s="783" t="s">
        <v>442</v>
      </c>
      <c r="B1016" s="784"/>
      <c r="C1016" s="784"/>
      <c r="D1016" s="784"/>
      <c r="E1016" s="784"/>
      <c r="F1016" s="784"/>
      <c r="G1016" s="440">
        <f>G1013*85.16%</f>
        <v>2.3827768</v>
      </c>
    </row>
    <row r="1017" spans="1:7" ht="12.75">
      <c r="A1017" s="783" t="s">
        <v>443</v>
      </c>
      <c r="B1017" s="784"/>
      <c r="C1017" s="784"/>
      <c r="D1017" s="784"/>
      <c r="E1017" s="784"/>
      <c r="F1017" s="784"/>
      <c r="G1017" s="440">
        <f>G1016</f>
        <v>2.3827768</v>
      </c>
    </row>
    <row r="1018" spans="1:7" ht="12.75">
      <c r="A1018" s="785" t="s">
        <v>444</v>
      </c>
      <c r="B1018" s="786"/>
      <c r="C1018" s="786"/>
      <c r="D1018" s="786"/>
      <c r="E1018" s="786"/>
      <c r="F1018" s="787"/>
      <c r="G1018" s="440">
        <f>G1014</f>
        <v>24</v>
      </c>
    </row>
    <row r="1019" spans="1:7" ht="12.75">
      <c r="A1019" s="785" t="s">
        <v>445</v>
      </c>
      <c r="B1019" s="786"/>
      <c r="C1019" s="786"/>
      <c r="D1019" s="786"/>
      <c r="E1019" s="786"/>
      <c r="F1019" s="787"/>
      <c r="G1019" s="440">
        <f>G1013+G1017</f>
        <v>5.1807768</v>
      </c>
    </row>
    <row r="1020" spans="1:7" ht="12.75">
      <c r="A1020" s="785" t="s">
        <v>446</v>
      </c>
      <c r="B1020" s="786"/>
      <c r="C1020" s="786"/>
      <c r="D1020" s="786"/>
      <c r="E1020" s="786"/>
      <c r="F1020" s="787"/>
      <c r="G1020" s="440">
        <f>SUM(G1018:G1019)</f>
        <v>29.1807768</v>
      </c>
    </row>
    <row r="1021" spans="1:7" ht="12.75">
      <c r="A1021" s="796"/>
      <c r="B1021" s="797"/>
      <c r="C1021" s="797"/>
      <c r="D1021" s="797"/>
      <c r="E1021" s="797"/>
      <c r="F1021" s="797"/>
      <c r="G1021" s="798"/>
    </row>
    <row r="1022" spans="1:7" ht="12.75">
      <c r="A1022" s="491" t="s">
        <v>83</v>
      </c>
      <c r="B1022" s="799" t="s">
        <v>451</v>
      </c>
      <c r="C1022" s="799"/>
      <c r="D1022" s="799"/>
      <c r="E1022" s="799"/>
      <c r="F1022" s="799"/>
      <c r="G1022" s="800"/>
    </row>
    <row r="1023" spans="1:7" ht="12.75">
      <c r="A1023" s="804"/>
      <c r="B1023" s="805"/>
      <c r="C1023" s="805"/>
      <c r="D1023" s="805"/>
      <c r="E1023" s="805"/>
      <c r="F1023" s="805"/>
      <c r="G1023" s="806"/>
    </row>
    <row r="1024" spans="1:7" ht="12.75">
      <c r="A1024" s="704" t="s">
        <v>1722</v>
      </c>
      <c r="B1024" s="595"/>
      <c r="C1024" s="595"/>
      <c r="D1024" s="595"/>
      <c r="E1024" s="595"/>
      <c r="F1024" s="595"/>
      <c r="G1024" s="596"/>
    </row>
    <row r="1025" spans="1:7" ht="25.5">
      <c r="A1025" s="171" t="s">
        <v>994</v>
      </c>
      <c r="B1025" s="182" t="s">
        <v>995</v>
      </c>
      <c r="C1025" s="172" t="s">
        <v>72</v>
      </c>
      <c r="D1025" s="172" t="s">
        <v>75</v>
      </c>
      <c r="E1025" s="373"/>
      <c r="F1025" s="374"/>
      <c r="G1025" s="375"/>
    </row>
    <row r="1026" spans="1:7" ht="25.5">
      <c r="A1026" s="173" t="s">
        <v>996</v>
      </c>
      <c r="B1026" s="174" t="s">
        <v>997</v>
      </c>
      <c r="C1026" s="175" t="s">
        <v>73</v>
      </c>
      <c r="D1026" s="175" t="s">
        <v>75</v>
      </c>
      <c r="E1026" s="434">
        <v>1</v>
      </c>
      <c r="F1026" s="435">
        <v>111.57</v>
      </c>
      <c r="G1026" s="436">
        <f>E1026*F1026</f>
        <v>111.57</v>
      </c>
    </row>
    <row r="1027" spans="1:7" ht="38.25">
      <c r="A1027" s="173" t="s">
        <v>492</v>
      </c>
      <c r="B1027" s="174" t="s">
        <v>493</v>
      </c>
      <c r="C1027" s="175" t="s">
        <v>72</v>
      </c>
      <c r="D1027" s="175" t="s">
        <v>77</v>
      </c>
      <c r="E1027" s="434">
        <v>0.1</v>
      </c>
      <c r="F1027" s="435">
        <v>12.86</v>
      </c>
      <c r="G1027" s="436">
        <f>E1027*F1027</f>
        <v>1.286</v>
      </c>
    </row>
    <row r="1028" spans="1:7" ht="25.5">
      <c r="A1028" s="173" t="s">
        <v>494</v>
      </c>
      <c r="B1028" s="174" t="s">
        <v>495</v>
      </c>
      <c r="C1028" s="175" t="s">
        <v>72</v>
      </c>
      <c r="D1028" s="175" t="s">
        <v>77</v>
      </c>
      <c r="E1028" s="434">
        <v>0.1</v>
      </c>
      <c r="F1028" s="435">
        <v>15.12</v>
      </c>
      <c r="G1028" s="436">
        <f>E1028*F1028</f>
        <v>1.512</v>
      </c>
    </row>
    <row r="1029" spans="1:7" ht="12.75">
      <c r="A1029" s="783" t="s">
        <v>439</v>
      </c>
      <c r="B1029" s="784"/>
      <c r="C1029" s="784"/>
      <c r="D1029" s="784"/>
      <c r="E1029" s="784"/>
      <c r="F1029" s="784"/>
      <c r="G1029" s="440">
        <f>SUM(G1027:G1028)</f>
        <v>2.798</v>
      </c>
    </row>
    <row r="1030" spans="1:7" ht="12.75">
      <c r="A1030" s="783" t="s">
        <v>440</v>
      </c>
      <c r="B1030" s="784"/>
      <c r="C1030" s="784"/>
      <c r="D1030" s="784"/>
      <c r="E1030" s="784"/>
      <c r="F1030" s="784"/>
      <c r="G1030" s="440">
        <f>SUM(G1026)</f>
        <v>111.57</v>
      </c>
    </row>
    <row r="1031" spans="1:7" ht="12.75">
      <c r="A1031" s="783" t="s">
        <v>441</v>
      </c>
      <c r="B1031" s="784"/>
      <c r="C1031" s="784"/>
      <c r="D1031" s="784"/>
      <c r="E1031" s="784"/>
      <c r="F1031" s="784"/>
      <c r="G1031" s="440">
        <f>SUM(G1029:G1030)</f>
        <v>114.368</v>
      </c>
    </row>
    <row r="1032" spans="1:7" ht="12.75">
      <c r="A1032" s="783" t="s">
        <v>442</v>
      </c>
      <c r="B1032" s="784"/>
      <c r="C1032" s="784"/>
      <c r="D1032" s="784"/>
      <c r="E1032" s="784"/>
      <c r="F1032" s="784"/>
      <c r="G1032" s="440">
        <f>G1029*85.16%</f>
        <v>2.3827768</v>
      </c>
    </row>
    <row r="1033" spans="1:7" ht="12.75">
      <c r="A1033" s="783" t="s">
        <v>443</v>
      </c>
      <c r="B1033" s="784"/>
      <c r="C1033" s="784"/>
      <c r="D1033" s="784"/>
      <c r="E1033" s="784"/>
      <c r="F1033" s="784"/>
      <c r="G1033" s="440">
        <f>G1032</f>
        <v>2.3827768</v>
      </c>
    </row>
    <row r="1034" spans="1:7" ht="12.75">
      <c r="A1034" s="785" t="s">
        <v>444</v>
      </c>
      <c r="B1034" s="786"/>
      <c r="C1034" s="786"/>
      <c r="D1034" s="786"/>
      <c r="E1034" s="786"/>
      <c r="F1034" s="787"/>
      <c r="G1034" s="440">
        <f>G1030</f>
        <v>111.57</v>
      </c>
    </row>
    <row r="1035" spans="1:7" ht="12.75">
      <c r="A1035" s="785" t="s">
        <v>445</v>
      </c>
      <c r="B1035" s="786"/>
      <c r="C1035" s="786"/>
      <c r="D1035" s="786"/>
      <c r="E1035" s="786"/>
      <c r="F1035" s="787"/>
      <c r="G1035" s="440">
        <f>G1029+G1033</f>
        <v>5.1807768</v>
      </c>
    </row>
    <row r="1036" spans="1:7" ht="12.75">
      <c r="A1036" s="785" t="s">
        <v>446</v>
      </c>
      <c r="B1036" s="786"/>
      <c r="C1036" s="786"/>
      <c r="D1036" s="786"/>
      <c r="E1036" s="786"/>
      <c r="F1036" s="787"/>
      <c r="G1036" s="440">
        <f>SUM(G1034:G1035)</f>
        <v>116.7507768</v>
      </c>
    </row>
    <row r="1037" spans="1:7" ht="12.75">
      <c r="A1037" s="491" t="s">
        <v>83</v>
      </c>
      <c r="B1037" s="799" t="s">
        <v>451</v>
      </c>
      <c r="C1037" s="799"/>
      <c r="D1037" s="799"/>
      <c r="E1037" s="799"/>
      <c r="F1037" s="799"/>
      <c r="G1037" s="800"/>
    </row>
    <row r="1038" spans="1:7" ht="12.75">
      <c r="A1038" s="804"/>
      <c r="B1038" s="805"/>
      <c r="C1038" s="805"/>
      <c r="D1038" s="805"/>
      <c r="E1038" s="805"/>
      <c r="F1038" s="805"/>
      <c r="G1038" s="806"/>
    </row>
    <row r="1039" spans="1:7" ht="12.75">
      <c r="A1039" s="704" t="s">
        <v>1574</v>
      </c>
      <c r="B1039" s="704" t="s">
        <v>1575</v>
      </c>
      <c r="C1039" s="595"/>
      <c r="D1039" s="595"/>
      <c r="E1039" s="595"/>
      <c r="F1039" s="595"/>
      <c r="G1039" s="596"/>
    </row>
    <row r="1040" spans="1:7" ht="12.75">
      <c r="A1040" s="704" t="s">
        <v>1737</v>
      </c>
      <c r="B1040" s="704"/>
      <c r="C1040" s="595"/>
      <c r="D1040" s="595"/>
      <c r="E1040" s="595"/>
      <c r="F1040" s="595"/>
      <c r="G1040" s="596"/>
    </row>
    <row r="1041" spans="1:7" ht="51">
      <c r="A1041" s="171" t="s">
        <v>998</v>
      </c>
      <c r="B1041" s="182" t="s">
        <v>999</v>
      </c>
      <c r="C1041" s="172" t="s">
        <v>72</v>
      </c>
      <c r="D1041" s="172" t="s">
        <v>75</v>
      </c>
      <c r="E1041" s="373"/>
      <c r="F1041" s="374"/>
      <c r="G1041" s="375"/>
    </row>
    <row r="1042" spans="1:7" ht="38.25">
      <c r="A1042" s="173" t="s">
        <v>1000</v>
      </c>
      <c r="B1042" s="174" t="s">
        <v>1001</v>
      </c>
      <c r="C1042" s="175" t="s">
        <v>73</v>
      </c>
      <c r="D1042" s="175" t="s">
        <v>75</v>
      </c>
      <c r="E1042" s="434">
        <v>1</v>
      </c>
      <c r="F1042" s="435">
        <v>199.8</v>
      </c>
      <c r="G1042" s="436">
        <f>E1042*F1042</f>
        <v>199.8</v>
      </c>
    </row>
    <row r="1043" spans="1:7" ht="12.75">
      <c r="A1043" s="173" t="s">
        <v>1002</v>
      </c>
      <c r="B1043" s="174" t="s">
        <v>1003</v>
      </c>
      <c r="C1043" s="175" t="s">
        <v>73</v>
      </c>
      <c r="D1043" s="175" t="s">
        <v>424</v>
      </c>
      <c r="E1043" s="434">
        <v>0.12</v>
      </c>
      <c r="F1043" s="435">
        <v>9.23</v>
      </c>
      <c r="G1043" s="436">
        <f>E1043*F1043</f>
        <v>1.1076</v>
      </c>
    </row>
    <row r="1044" spans="1:7" ht="25.5">
      <c r="A1044" s="173" t="s">
        <v>1004</v>
      </c>
      <c r="B1044" s="174" t="s">
        <v>1005</v>
      </c>
      <c r="C1044" s="175" t="s">
        <v>73</v>
      </c>
      <c r="D1044" s="175" t="s">
        <v>85</v>
      </c>
      <c r="E1044" s="434">
        <v>0.08</v>
      </c>
      <c r="F1044" s="435">
        <v>21.7</v>
      </c>
      <c r="G1044" s="436">
        <f>E1044*F1044</f>
        <v>1.736</v>
      </c>
    </row>
    <row r="1045" spans="1:7" ht="25.5">
      <c r="A1045" s="173" t="s">
        <v>1006</v>
      </c>
      <c r="B1045" s="174" t="s">
        <v>1007</v>
      </c>
      <c r="C1045" s="175" t="s">
        <v>72</v>
      </c>
      <c r="D1045" s="175" t="s">
        <v>77</v>
      </c>
      <c r="E1045" s="434">
        <v>0.7</v>
      </c>
      <c r="F1045" s="435">
        <v>12.86</v>
      </c>
      <c r="G1045" s="436">
        <f>E1045*F1045</f>
        <v>9.001999999999999</v>
      </c>
    </row>
    <row r="1046" spans="1:7" ht="25.5">
      <c r="A1046" s="173" t="s">
        <v>494</v>
      </c>
      <c r="B1046" s="174" t="s">
        <v>495</v>
      </c>
      <c r="C1046" s="175" t="s">
        <v>72</v>
      </c>
      <c r="D1046" s="175" t="s">
        <v>77</v>
      </c>
      <c r="E1046" s="434">
        <v>0.85</v>
      </c>
      <c r="F1046" s="435">
        <v>15.12</v>
      </c>
      <c r="G1046" s="436">
        <f>E1046*F1046</f>
        <v>12.851999999999999</v>
      </c>
    </row>
    <row r="1047" spans="1:7" ht="12.75">
      <c r="A1047" s="783" t="s">
        <v>439</v>
      </c>
      <c r="B1047" s="784"/>
      <c r="C1047" s="784"/>
      <c r="D1047" s="784"/>
      <c r="E1047" s="784"/>
      <c r="F1047" s="784"/>
      <c r="G1047" s="440">
        <f>SUM(G1045:G1046)</f>
        <v>21.854</v>
      </c>
    </row>
    <row r="1048" spans="1:7" ht="12.75">
      <c r="A1048" s="783" t="s">
        <v>440</v>
      </c>
      <c r="B1048" s="784"/>
      <c r="C1048" s="784"/>
      <c r="D1048" s="784"/>
      <c r="E1048" s="784"/>
      <c r="F1048" s="784"/>
      <c r="G1048" s="440">
        <f>SUM(G1042:G1044)</f>
        <v>202.6436</v>
      </c>
    </row>
    <row r="1049" spans="1:7" ht="12.75">
      <c r="A1049" s="783" t="s">
        <v>441</v>
      </c>
      <c r="B1049" s="784"/>
      <c r="C1049" s="784"/>
      <c r="D1049" s="784"/>
      <c r="E1049" s="784"/>
      <c r="F1049" s="784"/>
      <c r="G1049" s="440">
        <f>SUM(G1047:G1048)</f>
        <v>224.49759999999998</v>
      </c>
    </row>
    <row r="1050" spans="1:7" ht="12.75">
      <c r="A1050" s="783" t="s">
        <v>442</v>
      </c>
      <c r="B1050" s="784"/>
      <c r="C1050" s="784"/>
      <c r="D1050" s="784"/>
      <c r="E1050" s="784"/>
      <c r="F1050" s="784"/>
      <c r="G1050" s="440">
        <f>G1047*85.16%</f>
        <v>18.6108664</v>
      </c>
    </row>
    <row r="1051" spans="1:7" ht="12.75">
      <c r="A1051" s="783" t="s">
        <v>443</v>
      </c>
      <c r="B1051" s="784"/>
      <c r="C1051" s="784"/>
      <c r="D1051" s="784"/>
      <c r="E1051" s="784"/>
      <c r="F1051" s="784"/>
      <c r="G1051" s="440">
        <f>G1050</f>
        <v>18.6108664</v>
      </c>
    </row>
    <row r="1052" spans="1:7" ht="12.75">
      <c r="A1052" s="785" t="s">
        <v>444</v>
      </c>
      <c r="B1052" s="786"/>
      <c r="C1052" s="786"/>
      <c r="D1052" s="786"/>
      <c r="E1052" s="786"/>
      <c r="F1052" s="787"/>
      <c r="G1052" s="440">
        <f>G1048</f>
        <v>202.6436</v>
      </c>
    </row>
    <row r="1053" spans="1:7" ht="12.75">
      <c r="A1053" s="785" t="s">
        <v>445</v>
      </c>
      <c r="B1053" s="786"/>
      <c r="C1053" s="786"/>
      <c r="D1053" s="786"/>
      <c r="E1053" s="786"/>
      <c r="F1053" s="787"/>
      <c r="G1053" s="440">
        <f>G1047+G1051</f>
        <v>40.4648664</v>
      </c>
    </row>
    <row r="1054" spans="1:7" ht="12.75">
      <c r="A1054" s="785" t="s">
        <v>446</v>
      </c>
      <c r="B1054" s="786"/>
      <c r="C1054" s="786"/>
      <c r="D1054" s="786"/>
      <c r="E1054" s="786"/>
      <c r="F1054" s="787"/>
      <c r="G1054" s="440">
        <f>SUM(G1052:G1053)</f>
        <v>243.1084664</v>
      </c>
    </row>
    <row r="1055" spans="1:7" ht="12.75">
      <c r="A1055" s="804"/>
      <c r="B1055" s="805"/>
      <c r="C1055" s="805"/>
      <c r="D1055" s="805"/>
      <c r="E1055" s="805"/>
      <c r="F1055" s="805"/>
      <c r="G1055" s="806"/>
    </row>
    <row r="1056" spans="1:7" ht="12.75">
      <c r="A1056" s="704" t="s">
        <v>1736</v>
      </c>
      <c r="B1056" s="595"/>
      <c r="C1056" s="595"/>
      <c r="D1056" s="595"/>
      <c r="E1056" s="595"/>
      <c r="F1056" s="595"/>
      <c r="G1056" s="596"/>
    </row>
    <row r="1057" spans="1:7" ht="63.75">
      <c r="A1057" s="171" t="s">
        <v>1062</v>
      </c>
      <c r="B1057" s="182" t="s">
        <v>187</v>
      </c>
      <c r="C1057" s="172" t="s">
        <v>72</v>
      </c>
      <c r="D1057" s="172" t="s">
        <v>75</v>
      </c>
      <c r="E1057" s="373"/>
      <c r="F1057" s="374"/>
      <c r="G1057" s="375"/>
    </row>
    <row r="1058" spans="1:7" ht="51">
      <c r="A1058" s="173" t="s">
        <v>1063</v>
      </c>
      <c r="B1058" s="174" t="s">
        <v>1064</v>
      </c>
      <c r="C1058" s="175" t="s">
        <v>73</v>
      </c>
      <c r="D1058" s="175" t="s">
        <v>75</v>
      </c>
      <c r="E1058" s="434">
        <v>1</v>
      </c>
      <c r="F1058" s="435">
        <v>171.99</v>
      </c>
      <c r="G1058" s="436">
        <f>E1058*F1058</f>
        <v>171.99</v>
      </c>
    </row>
    <row r="1059" spans="1:7" ht="25.5">
      <c r="A1059" s="173" t="s">
        <v>1065</v>
      </c>
      <c r="B1059" s="174" t="s">
        <v>1066</v>
      </c>
      <c r="C1059" s="175" t="s">
        <v>73</v>
      </c>
      <c r="D1059" s="175" t="s">
        <v>75</v>
      </c>
      <c r="E1059" s="434">
        <v>1</v>
      </c>
      <c r="F1059" s="435">
        <v>5.8</v>
      </c>
      <c r="G1059" s="436">
        <f>E1059*F1059</f>
        <v>5.8</v>
      </c>
    </row>
    <row r="1060" spans="1:7" ht="38.25">
      <c r="A1060" s="173" t="s">
        <v>492</v>
      </c>
      <c r="B1060" s="174" t="s">
        <v>493</v>
      </c>
      <c r="C1060" s="175" t="s">
        <v>72</v>
      </c>
      <c r="D1060" s="175" t="s">
        <v>77</v>
      </c>
      <c r="E1060" s="434">
        <v>0.3</v>
      </c>
      <c r="F1060" s="435">
        <v>12.86</v>
      </c>
      <c r="G1060" s="436">
        <f>E1060*F1060</f>
        <v>3.8579999999999997</v>
      </c>
    </row>
    <row r="1061" spans="1:7" ht="25.5">
      <c r="A1061" s="173" t="s">
        <v>494</v>
      </c>
      <c r="B1061" s="174" t="s">
        <v>495</v>
      </c>
      <c r="C1061" s="175" t="s">
        <v>72</v>
      </c>
      <c r="D1061" s="175" t="s">
        <v>77</v>
      </c>
      <c r="E1061" s="434">
        <v>0.3</v>
      </c>
      <c r="F1061" s="435">
        <v>15.12</v>
      </c>
      <c r="G1061" s="436">
        <f>E1061*F1061</f>
        <v>4.536</v>
      </c>
    </row>
    <row r="1062" spans="1:7" ht="12.75">
      <c r="A1062" s="783" t="s">
        <v>439</v>
      </c>
      <c r="B1062" s="784"/>
      <c r="C1062" s="784"/>
      <c r="D1062" s="784"/>
      <c r="E1062" s="784"/>
      <c r="F1062" s="784"/>
      <c r="G1062" s="440">
        <f>SUM(G1060:G1061)</f>
        <v>8.393999999999998</v>
      </c>
    </row>
    <row r="1063" spans="1:7" ht="12.75">
      <c r="A1063" s="783" t="s">
        <v>440</v>
      </c>
      <c r="B1063" s="784"/>
      <c r="C1063" s="784"/>
      <c r="D1063" s="784"/>
      <c r="E1063" s="784"/>
      <c r="F1063" s="784"/>
      <c r="G1063" s="440">
        <f>SUM(G1058:G1059)</f>
        <v>177.79000000000002</v>
      </c>
    </row>
    <row r="1064" spans="1:7" ht="12.75">
      <c r="A1064" s="783" t="s">
        <v>441</v>
      </c>
      <c r="B1064" s="784"/>
      <c r="C1064" s="784"/>
      <c r="D1064" s="784"/>
      <c r="E1064" s="784"/>
      <c r="F1064" s="784"/>
      <c r="G1064" s="440">
        <f>SUM(G1062:G1063)</f>
        <v>186.18400000000003</v>
      </c>
    </row>
    <row r="1065" spans="1:7" ht="12.75">
      <c r="A1065" s="783" t="s">
        <v>442</v>
      </c>
      <c r="B1065" s="784"/>
      <c r="C1065" s="784"/>
      <c r="D1065" s="784"/>
      <c r="E1065" s="784"/>
      <c r="F1065" s="784"/>
      <c r="G1065" s="440">
        <f>G1062*85.16%</f>
        <v>7.148330399999998</v>
      </c>
    </row>
    <row r="1066" spans="1:7" ht="12.75">
      <c r="A1066" s="783" t="s">
        <v>443</v>
      </c>
      <c r="B1066" s="784"/>
      <c r="C1066" s="784"/>
      <c r="D1066" s="784"/>
      <c r="E1066" s="784"/>
      <c r="F1066" s="784"/>
      <c r="G1066" s="440">
        <f>G1065</f>
        <v>7.148330399999998</v>
      </c>
    </row>
    <row r="1067" spans="1:7" ht="12.75">
      <c r="A1067" s="785" t="s">
        <v>444</v>
      </c>
      <c r="B1067" s="786"/>
      <c r="C1067" s="786"/>
      <c r="D1067" s="786"/>
      <c r="E1067" s="786"/>
      <c r="F1067" s="787"/>
      <c r="G1067" s="440">
        <f>G1063</f>
        <v>177.79000000000002</v>
      </c>
    </row>
    <row r="1068" spans="1:7" ht="12.75">
      <c r="A1068" s="785" t="s">
        <v>445</v>
      </c>
      <c r="B1068" s="786"/>
      <c r="C1068" s="786"/>
      <c r="D1068" s="786"/>
      <c r="E1068" s="786"/>
      <c r="F1068" s="787"/>
      <c r="G1068" s="440">
        <f>G1062+G1066</f>
        <v>15.542330399999997</v>
      </c>
    </row>
    <row r="1069" spans="1:7" ht="12.75">
      <c r="A1069" s="785" t="s">
        <v>446</v>
      </c>
      <c r="B1069" s="786"/>
      <c r="C1069" s="786"/>
      <c r="D1069" s="786"/>
      <c r="E1069" s="786"/>
      <c r="F1069" s="787"/>
      <c r="G1069" s="440">
        <f>SUM(G1067:G1068)</f>
        <v>193.33233040000002</v>
      </c>
    </row>
    <row r="1070" spans="1:7" ht="12.75">
      <c r="A1070" s="491" t="s">
        <v>83</v>
      </c>
      <c r="B1070" s="799" t="s">
        <v>570</v>
      </c>
      <c r="C1070" s="799"/>
      <c r="D1070" s="799"/>
      <c r="E1070" s="799"/>
      <c r="F1070" s="799"/>
      <c r="G1070" s="800"/>
    </row>
    <row r="1071" spans="1:7" ht="12.75">
      <c r="A1071" s="804"/>
      <c r="B1071" s="805"/>
      <c r="C1071" s="805"/>
      <c r="D1071" s="805"/>
      <c r="E1071" s="805"/>
      <c r="F1071" s="805"/>
      <c r="G1071" s="806"/>
    </row>
    <row r="1072" spans="1:7" ht="12.75">
      <c r="A1072" s="704" t="s">
        <v>1566</v>
      </c>
      <c r="B1072" s="704" t="s">
        <v>1567</v>
      </c>
      <c r="C1072" s="595"/>
      <c r="D1072" s="595"/>
      <c r="E1072" s="595"/>
      <c r="F1072" s="595"/>
      <c r="G1072" s="596"/>
    </row>
    <row r="1073" spans="1:7" ht="12.75">
      <c r="A1073" s="704" t="s">
        <v>1725</v>
      </c>
      <c r="B1073" s="704"/>
      <c r="C1073" s="595"/>
      <c r="D1073" s="595"/>
      <c r="E1073" s="595"/>
      <c r="F1073" s="595"/>
      <c r="G1073" s="596"/>
    </row>
    <row r="1074" spans="1:7" ht="76.5">
      <c r="A1074" s="171" t="s">
        <v>1067</v>
      </c>
      <c r="B1074" s="182" t="s">
        <v>1068</v>
      </c>
      <c r="C1074" s="172" t="s">
        <v>72</v>
      </c>
      <c r="D1074" s="172" t="s">
        <v>75</v>
      </c>
      <c r="E1074" s="373"/>
      <c r="F1074" s="374"/>
      <c r="G1074" s="375"/>
    </row>
    <row r="1075" spans="1:7" ht="25.5">
      <c r="A1075" s="173" t="s">
        <v>1069</v>
      </c>
      <c r="B1075" s="174" t="s">
        <v>1070</v>
      </c>
      <c r="C1075" s="175" t="s">
        <v>73</v>
      </c>
      <c r="D1075" s="175" t="s">
        <v>75</v>
      </c>
      <c r="E1075" s="434">
        <v>1</v>
      </c>
      <c r="F1075" s="435">
        <v>288.72</v>
      </c>
      <c r="G1075" s="436">
        <f aca="true" t="shared" si="7" ref="G1075:G1081">E1075*F1075</f>
        <v>288.72</v>
      </c>
    </row>
    <row r="1076" spans="1:7" ht="25.5">
      <c r="A1076" s="173" t="s">
        <v>1010</v>
      </c>
      <c r="B1076" s="174" t="s">
        <v>1011</v>
      </c>
      <c r="C1076" s="175" t="s">
        <v>73</v>
      </c>
      <c r="D1076" s="175" t="s">
        <v>75</v>
      </c>
      <c r="E1076" s="434">
        <v>1</v>
      </c>
      <c r="F1076" s="435">
        <v>25.22</v>
      </c>
      <c r="G1076" s="436">
        <f t="shared" si="7"/>
        <v>25.22</v>
      </c>
    </row>
    <row r="1077" spans="1:7" ht="25.5">
      <c r="A1077" s="173" t="s">
        <v>1012</v>
      </c>
      <c r="B1077" s="174" t="s">
        <v>1013</v>
      </c>
      <c r="C1077" s="175" t="s">
        <v>73</v>
      </c>
      <c r="D1077" s="175" t="s">
        <v>75</v>
      </c>
      <c r="E1077" s="434">
        <v>0.076</v>
      </c>
      <c r="F1077" s="435">
        <v>2.55</v>
      </c>
      <c r="G1077" s="436">
        <f t="shared" si="7"/>
        <v>0.19379999999999997</v>
      </c>
    </row>
    <row r="1078" spans="1:7" ht="63.75">
      <c r="A1078" s="173" t="s">
        <v>1048</v>
      </c>
      <c r="B1078" s="174" t="s">
        <v>1049</v>
      </c>
      <c r="C1078" s="175" t="s">
        <v>73</v>
      </c>
      <c r="D1078" s="175" t="s">
        <v>75</v>
      </c>
      <c r="E1078" s="434">
        <v>2</v>
      </c>
      <c r="F1078" s="435">
        <v>6.77</v>
      </c>
      <c r="G1078" s="436">
        <f t="shared" si="7"/>
        <v>13.54</v>
      </c>
    </row>
    <row r="1079" spans="1:7" ht="38.25">
      <c r="A1079" s="173" t="s">
        <v>1071</v>
      </c>
      <c r="B1079" s="174" t="s">
        <v>1072</v>
      </c>
      <c r="C1079" s="175" t="s">
        <v>73</v>
      </c>
      <c r="D1079" s="175" t="s">
        <v>75</v>
      </c>
      <c r="E1079" s="434">
        <v>1</v>
      </c>
      <c r="F1079" s="435">
        <v>28.28</v>
      </c>
      <c r="G1079" s="436">
        <f t="shared" si="7"/>
        <v>28.28</v>
      </c>
    </row>
    <row r="1080" spans="1:7" ht="38.25">
      <c r="A1080" s="173" t="s">
        <v>492</v>
      </c>
      <c r="B1080" s="174" t="s">
        <v>493</v>
      </c>
      <c r="C1080" s="175" t="s">
        <v>72</v>
      </c>
      <c r="D1080" s="175" t="s">
        <v>77</v>
      </c>
      <c r="E1080" s="434">
        <v>3.2</v>
      </c>
      <c r="F1080" s="435">
        <v>12.86</v>
      </c>
      <c r="G1080" s="436">
        <f t="shared" si="7"/>
        <v>41.152</v>
      </c>
    </row>
    <row r="1081" spans="1:7" ht="25.5">
      <c r="A1081" s="173" t="s">
        <v>494</v>
      </c>
      <c r="B1081" s="174" t="s">
        <v>495</v>
      </c>
      <c r="C1081" s="175" t="s">
        <v>72</v>
      </c>
      <c r="D1081" s="175" t="s">
        <v>77</v>
      </c>
      <c r="E1081" s="434">
        <v>3.2</v>
      </c>
      <c r="F1081" s="435">
        <v>15.12</v>
      </c>
      <c r="G1081" s="436">
        <f t="shared" si="7"/>
        <v>48.384</v>
      </c>
    </row>
    <row r="1082" spans="1:7" ht="12.75">
      <c r="A1082" s="783" t="s">
        <v>439</v>
      </c>
      <c r="B1082" s="784"/>
      <c r="C1082" s="784"/>
      <c r="D1082" s="784"/>
      <c r="E1082" s="784"/>
      <c r="F1082" s="784"/>
      <c r="G1082" s="440">
        <f>SUM(G1080:G1081)</f>
        <v>89.536</v>
      </c>
    </row>
    <row r="1083" spans="1:7" ht="12.75">
      <c r="A1083" s="783" t="s">
        <v>440</v>
      </c>
      <c r="B1083" s="784"/>
      <c r="C1083" s="784"/>
      <c r="D1083" s="784"/>
      <c r="E1083" s="784"/>
      <c r="F1083" s="784"/>
      <c r="G1083" s="440">
        <f>SUM(G1075:G1079)</f>
        <v>355.9538000000001</v>
      </c>
    </row>
    <row r="1084" spans="1:7" ht="12.75">
      <c r="A1084" s="783" t="s">
        <v>441</v>
      </c>
      <c r="B1084" s="784"/>
      <c r="C1084" s="784"/>
      <c r="D1084" s="784"/>
      <c r="E1084" s="784"/>
      <c r="F1084" s="784"/>
      <c r="G1084" s="440">
        <f>SUM(G1082:G1083)</f>
        <v>445.4898000000001</v>
      </c>
    </row>
    <row r="1085" spans="1:7" ht="12.75">
      <c r="A1085" s="783" t="s">
        <v>442</v>
      </c>
      <c r="B1085" s="784"/>
      <c r="C1085" s="784"/>
      <c r="D1085" s="784"/>
      <c r="E1085" s="784"/>
      <c r="F1085" s="784"/>
      <c r="G1085" s="440">
        <f>G1082*85.16%</f>
        <v>76.2488576</v>
      </c>
    </row>
    <row r="1086" spans="1:7" ht="12.75">
      <c r="A1086" s="783" t="s">
        <v>443</v>
      </c>
      <c r="B1086" s="784"/>
      <c r="C1086" s="784"/>
      <c r="D1086" s="784"/>
      <c r="E1086" s="784"/>
      <c r="F1086" s="784"/>
      <c r="G1086" s="440">
        <f>G1085</f>
        <v>76.2488576</v>
      </c>
    </row>
    <row r="1087" spans="1:7" ht="12.75">
      <c r="A1087" s="785" t="s">
        <v>444</v>
      </c>
      <c r="B1087" s="786"/>
      <c r="C1087" s="786"/>
      <c r="D1087" s="786"/>
      <c r="E1087" s="786"/>
      <c r="F1087" s="787"/>
      <c r="G1087" s="440">
        <f>G1083</f>
        <v>355.9538000000001</v>
      </c>
    </row>
    <row r="1088" spans="1:7" ht="12.75">
      <c r="A1088" s="785" t="s">
        <v>445</v>
      </c>
      <c r="B1088" s="786"/>
      <c r="C1088" s="786"/>
      <c r="D1088" s="786"/>
      <c r="E1088" s="786"/>
      <c r="F1088" s="787"/>
      <c r="G1088" s="440">
        <f>G1082+G1086</f>
        <v>165.7848576</v>
      </c>
    </row>
    <row r="1089" spans="1:7" ht="12.75">
      <c r="A1089" s="785" t="s">
        <v>446</v>
      </c>
      <c r="B1089" s="786"/>
      <c r="C1089" s="786"/>
      <c r="D1089" s="786"/>
      <c r="E1089" s="786"/>
      <c r="F1089" s="787"/>
      <c r="G1089" s="440">
        <f>SUM(G1087:G1088)</f>
        <v>521.7386576000001</v>
      </c>
    </row>
    <row r="1090" spans="1:7" ht="12.75">
      <c r="A1090" s="796"/>
      <c r="B1090" s="797"/>
      <c r="C1090" s="797"/>
      <c r="D1090" s="797"/>
      <c r="E1090" s="797"/>
      <c r="F1090" s="797"/>
      <c r="G1090" s="798"/>
    </row>
    <row r="1091" spans="1:7" ht="12.75">
      <c r="A1091" s="804"/>
      <c r="B1091" s="805"/>
      <c r="C1091" s="805"/>
      <c r="D1091" s="805"/>
      <c r="E1091" s="805"/>
      <c r="F1091" s="805"/>
      <c r="G1091" s="806"/>
    </row>
    <row r="1092" spans="1:7" ht="12.75">
      <c r="A1092" s="594"/>
      <c r="B1092" s="595"/>
      <c r="C1092" s="595"/>
      <c r="D1092" s="595"/>
      <c r="E1092" s="595"/>
      <c r="F1092" s="595"/>
      <c r="G1092" s="596"/>
    </row>
    <row r="1093" spans="1:7" ht="12.75">
      <c r="A1093" s="597" t="s">
        <v>1570</v>
      </c>
      <c r="B1093" s="597" t="s">
        <v>1571</v>
      </c>
      <c r="C1093" s="597"/>
      <c r="D1093" s="595"/>
      <c r="E1093" s="595"/>
      <c r="F1093" s="595"/>
      <c r="G1093" s="596"/>
    </row>
    <row r="1094" spans="1:7" ht="12.75">
      <c r="A1094" s="597" t="s">
        <v>1727</v>
      </c>
      <c r="B1094" s="597"/>
      <c r="C1094" s="597"/>
      <c r="D1094" s="595"/>
      <c r="E1094" s="595"/>
      <c r="F1094" s="595"/>
      <c r="G1094" s="596"/>
    </row>
    <row r="1095" spans="1:7" ht="63.75">
      <c r="A1095" s="171" t="s">
        <v>1094</v>
      </c>
      <c r="B1095" s="182" t="s">
        <v>1095</v>
      </c>
      <c r="C1095" s="172" t="s">
        <v>72</v>
      </c>
      <c r="D1095" s="172" t="s">
        <v>75</v>
      </c>
      <c r="E1095" s="373"/>
      <c r="F1095" s="374"/>
      <c r="G1095" s="375"/>
    </row>
    <row r="1096" spans="1:7" ht="38.25">
      <c r="A1096" s="173" t="s">
        <v>1096</v>
      </c>
      <c r="B1096" s="174" t="s">
        <v>1097</v>
      </c>
      <c r="C1096" s="175" t="s">
        <v>73</v>
      </c>
      <c r="D1096" s="175" t="s">
        <v>75</v>
      </c>
      <c r="E1096" s="434">
        <v>1</v>
      </c>
      <c r="F1096" s="435">
        <v>28.98</v>
      </c>
      <c r="G1096" s="436">
        <f>E1096*F1096</f>
        <v>28.98</v>
      </c>
    </row>
    <row r="1097" spans="1:7" ht="25.5">
      <c r="A1097" s="173" t="s">
        <v>1012</v>
      </c>
      <c r="B1097" s="174" t="s">
        <v>1013</v>
      </c>
      <c r="C1097" s="175" t="s">
        <v>73</v>
      </c>
      <c r="D1097" s="175" t="s">
        <v>75</v>
      </c>
      <c r="E1097" s="434">
        <v>0.0304</v>
      </c>
      <c r="F1097" s="435">
        <v>2.55</v>
      </c>
      <c r="G1097" s="436">
        <f>E1097*F1097</f>
        <v>0.07751999999999999</v>
      </c>
    </row>
    <row r="1098" spans="1:7" ht="25.5">
      <c r="A1098" s="173" t="s">
        <v>494</v>
      </c>
      <c r="B1098" s="174" t="s">
        <v>495</v>
      </c>
      <c r="C1098" s="175" t="s">
        <v>72</v>
      </c>
      <c r="D1098" s="175" t="s">
        <v>77</v>
      </c>
      <c r="E1098" s="434">
        <v>0.12</v>
      </c>
      <c r="F1098" s="435">
        <v>15.12</v>
      </c>
      <c r="G1098" s="436">
        <f>E1098*F1098</f>
        <v>1.8143999999999998</v>
      </c>
    </row>
    <row r="1099" spans="1:7" ht="25.5">
      <c r="A1099" s="173" t="s">
        <v>437</v>
      </c>
      <c r="B1099" s="174" t="s">
        <v>438</v>
      </c>
      <c r="C1099" s="175" t="s">
        <v>72</v>
      </c>
      <c r="D1099" s="175" t="s">
        <v>77</v>
      </c>
      <c r="E1099" s="434">
        <v>0.04</v>
      </c>
      <c r="F1099" s="435">
        <v>12.64</v>
      </c>
      <c r="G1099" s="436">
        <f>E1099*F1099</f>
        <v>0.5056</v>
      </c>
    </row>
    <row r="1100" spans="1:7" ht="12.75">
      <c r="A1100" s="783" t="s">
        <v>439</v>
      </c>
      <c r="B1100" s="784"/>
      <c r="C1100" s="784"/>
      <c r="D1100" s="784"/>
      <c r="E1100" s="784"/>
      <c r="F1100" s="784"/>
      <c r="G1100" s="440">
        <f>SUM(G1098:G1099)</f>
        <v>2.32</v>
      </c>
    </row>
    <row r="1101" spans="1:7" ht="12.75">
      <c r="A1101" s="783" t="s">
        <v>440</v>
      </c>
      <c r="B1101" s="784"/>
      <c r="C1101" s="784"/>
      <c r="D1101" s="784"/>
      <c r="E1101" s="784"/>
      <c r="F1101" s="784"/>
      <c r="G1101" s="440">
        <f>SUM(G1096:G1097)</f>
        <v>29.05752</v>
      </c>
    </row>
    <row r="1102" spans="1:7" ht="12.75">
      <c r="A1102" s="783" t="s">
        <v>441</v>
      </c>
      <c r="B1102" s="784"/>
      <c r="C1102" s="784"/>
      <c r="D1102" s="784"/>
      <c r="E1102" s="784"/>
      <c r="F1102" s="784"/>
      <c r="G1102" s="440">
        <f>SUM(G1100:G1101)</f>
        <v>31.37752</v>
      </c>
    </row>
    <row r="1103" spans="1:7" ht="12.75">
      <c r="A1103" s="783" t="s">
        <v>442</v>
      </c>
      <c r="B1103" s="784"/>
      <c r="C1103" s="784"/>
      <c r="D1103" s="784"/>
      <c r="E1103" s="784"/>
      <c r="F1103" s="784"/>
      <c r="G1103" s="440">
        <f>G1100*85.16%</f>
        <v>1.9757119999999997</v>
      </c>
    </row>
    <row r="1104" spans="1:7" ht="12.75">
      <c r="A1104" s="783" t="s">
        <v>443</v>
      </c>
      <c r="B1104" s="784"/>
      <c r="C1104" s="784"/>
      <c r="D1104" s="784"/>
      <c r="E1104" s="784"/>
      <c r="F1104" s="784"/>
      <c r="G1104" s="440">
        <f>G1103</f>
        <v>1.9757119999999997</v>
      </c>
    </row>
    <row r="1105" spans="1:7" ht="12.75">
      <c r="A1105" s="785" t="s">
        <v>444</v>
      </c>
      <c r="B1105" s="786"/>
      <c r="C1105" s="786"/>
      <c r="D1105" s="786"/>
      <c r="E1105" s="786"/>
      <c r="F1105" s="787"/>
      <c r="G1105" s="440">
        <f>G1101</f>
        <v>29.05752</v>
      </c>
    </row>
    <row r="1106" spans="1:7" ht="12.75">
      <c r="A1106" s="785" t="s">
        <v>445</v>
      </c>
      <c r="B1106" s="786"/>
      <c r="C1106" s="786"/>
      <c r="D1106" s="786"/>
      <c r="E1106" s="786"/>
      <c r="F1106" s="787"/>
      <c r="G1106" s="440">
        <f>G1100+G1104</f>
        <v>4.295712</v>
      </c>
    </row>
    <row r="1107" spans="1:7" ht="12.75">
      <c r="A1107" s="785" t="s">
        <v>446</v>
      </c>
      <c r="B1107" s="786"/>
      <c r="C1107" s="786"/>
      <c r="D1107" s="786"/>
      <c r="E1107" s="786"/>
      <c r="F1107" s="787"/>
      <c r="G1107" s="440">
        <f>SUM(G1105:G1106)</f>
        <v>33.353232</v>
      </c>
    </row>
    <row r="1108" spans="1:7" ht="12.75">
      <c r="A1108" s="796"/>
      <c r="B1108" s="797"/>
      <c r="C1108" s="797"/>
      <c r="D1108" s="797"/>
      <c r="E1108" s="797"/>
      <c r="F1108" s="797"/>
      <c r="G1108" s="798"/>
    </row>
    <row r="1109" spans="1:7" ht="12.75">
      <c r="A1109" s="820"/>
      <c r="B1109" s="821"/>
      <c r="C1109" s="821"/>
      <c r="D1109" s="821"/>
      <c r="E1109" s="821"/>
      <c r="F1109" s="821"/>
      <c r="G1109" s="822"/>
    </row>
    <row r="1110" spans="1:7" ht="12.75">
      <c r="A1110" s="599"/>
      <c r="B1110" s="600"/>
      <c r="C1110" s="600"/>
      <c r="D1110" s="600"/>
      <c r="E1110" s="600"/>
      <c r="F1110" s="600"/>
      <c r="G1110" s="601"/>
    </row>
    <row r="1111" spans="1:7" ht="12.75">
      <c r="A1111" s="597" t="s">
        <v>1738</v>
      </c>
      <c r="B1111" s="597" t="s">
        <v>1739</v>
      </c>
      <c r="C1111" s="600"/>
      <c r="D1111" s="600"/>
      <c r="E1111" s="600"/>
      <c r="F1111" s="600"/>
      <c r="G1111" s="601"/>
    </row>
    <row r="1112" spans="1:7" ht="12.75">
      <c r="A1112" s="597" t="s">
        <v>1740</v>
      </c>
      <c r="B1112" s="597"/>
      <c r="C1112" s="600"/>
      <c r="D1112" s="600"/>
      <c r="E1112" s="600"/>
      <c r="F1112" s="600"/>
      <c r="G1112" s="601"/>
    </row>
    <row r="1113" spans="1:7" ht="51">
      <c r="A1113" s="171" t="s">
        <v>1098</v>
      </c>
      <c r="B1113" s="182" t="s">
        <v>1099</v>
      </c>
      <c r="C1113" s="172" t="s">
        <v>72</v>
      </c>
      <c r="D1113" s="172" t="s">
        <v>82</v>
      </c>
      <c r="E1113" s="373"/>
      <c r="F1113" s="374"/>
      <c r="G1113" s="375"/>
    </row>
    <row r="1114" spans="1:7" ht="12.75">
      <c r="A1114" s="173" t="s">
        <v>1100</v>
      </c>
      <c r="B1114" s="174" t="s">
        <v>1101</v>
      </c>
      <c r="C1114" s="175" t="s">
        <v>73</v>
      </c>
      <c r="D1114" s="175" t="s">
        <v>82</v>
      </c>
      <c r="E1114" s="434">
        <v>1</v>
      </c>
      <c r="F1114" s="435">
        <v>206.39</v>
      </c>
      <c r="G1114" s="436">
        <f aca="true" t="shared" si="8" ref="G1114:G1119">E1114*F1114</f>
        <v>206.39</v>
      </c>
    </row>
    <row r="1115" spans="1:7" ht="38.25">
      <c r="A1115" s="173" t="s">
        <v>1102</v>
      </c>
      <c r="B1115" s="174" t="s">
        <v>1103</v>
      </c>
      <c r="C1115" s="175" t="s">
        <v>73</v>
      </c>
      <c r="D1115" s="175" t="s">
        <v>75</v>
      </c>
      <c r="E1115" s="434">
        <v>1.05</v>
      </c>
      <c r="F1115" s="435">
        <v>34.59</v>
      </c>
      <c r="G1115" s="436">
        <f t="shared" si="8"/>
        <v>36.319500000000005</v>
      </c>
    </row>
    <row r="1116" spans="1:7" ht="25.5">
      <c r="A1116" s="173" t="s">
        <v>1104</v>
      </c>
      <c r="B1116" s="174" t="s">
        <v>1105</v>
      </c>
      <c r="C1116" s="175" t="s">
        <v>73</v>
      </c>
      <c r="D1116" s="175" t="s">
        <v>424</v>
      </c>
      <c r="E1116" s="434">
        <v>1.54</v>
      </c>
      <c r="F1116" s="435">
        <v>19.3</v>
      </c>
      <c r="G1116" s="436">
        <f t="shared" si="8"/>
        <v>29.722</v>
      </c>
    </row>
    <row r="1117" spans="1:7" ht="38.25">
      <c r="A1117" s="173" t="s">
        <v>1106</v>
      </c>
      <c r="B1117" s="174" t="s">
        <v>1107</v>
      </c>
      <c r="C1117" s="175" t="s">
        <v>73</v>
      </c>
      <c r="D1117" s="175" t="s">
        <v>85</v>
      </c>
      <c r="E1117" s="434">
        <v>0.18</v>
      </c>
      <c r="F1117" s="435">
        <v>8.24</v>
      </c>
      <c r="G1117" s="436">
        <f t="shared" si="8"/>
        <v>1.4832</v>
      </c>
    </row>
    <row r="1118" spans="1:7" ht="25.5">
      <c r="A1118" s="173" t="s">
        <v>539</v>
      </c>
      <c r="B1118" s="174" t="s">
        <v>540</v>
      </c>
      <c r="C1118" s="175" t="s">
        <v>72</v>
      </c>
      <c r="D1118" s="175" t="s">
        <v>77</v>
      </c>
      <c r="E1118" s="434">
        <v>1.8</v>
      </c>
      <c r="F1118" s="435">
        <v>12.85</v>
      </c>
      <c r="G1118" s="436">
        <f t="shared" si="8"/>
        <v>23.13</v>
      </c>
    </row>
    <row r="1119" spans="1:7" ht="25.5">
      <c r="A1119" s="173" t="s">
        <v>1108</v>
      </c>
      <c r="B1119" s="174" t="s">
        <v>1109</v>
      </c>
      <c r="C1119" s="175" t="s">
        <v>72</v>
      </c>
      <c r="D1119" s="175" t="s">
        <v>77</v>
      </c>
      <c r="E1119" s="434">
        <v>1.8</v>
      </c>
      <c r="F1119" s="435">
        <v>13.85</v>
      </c>
      <c r="G1119" s="436">
        <f t="shared" si="8"/>
        <v>24.93</v>
      </c>
    </row>
    <row r="1120" spans="1:7" ht="12.75">
      <c r="A1120" s="783" t="s">
        <v>439</v>
      </c>
      <c r="B1120" s="784"/>
      <c r="C1120" s="784"/>
      <c r="D1120" s="784"/>
      <c r="E1120" s="784"/>
      <c r="F1120" s="784"/>
      <c r="G1120" s="440">
        <f>SUM(G1118:G1119)</f>
        <v>48.06</v>
      </c>
    </row>
    <row r="1121" spans="1:7" ht="12.75">
      <c r="A1121" s="783" t="s">
        <v>440</v>
      </c>
      <c r="B1121" s="784"/>
      <c r="C1121" s="784"/>
      <c r="D1121" s="784"/>
      <c r="E1121" s="784"/>
      <c r="F1121" s="784"/>
      <c r="G1121" s="440">
        <f>SUM(G1114:G1117)</f>
        <v>273.9147</v>
      </c>
    </row>
    <row r="1122" spans="1:7" ht="12.75">
      <c r="A1122" s="783" t="s">
        <v>441</v>
      </c>
      <c r="B1122" s="784"/>
      <c r="C1122" s="784"/>
      <c r="D1122" s="784"/>
      <c r="E1122" s="784"/>
      <c r="F1122" s="784"/>
      <c r="G1122" s="440">
        <f>SUM(G1120:G1121)</f>
        <v>321.9747</v>
      </c>
    </row>
    <row r="1123" spans="1:7" ht="12.75">
      <c r="A1123" s="783" t="s">
        <v>442</v>
      </c>
      <c r="B1123" s="784"/>
      <c r="C1123" s="784"/>
      <c r="D1123" s="784"/>
      <c r="E1123" s="784"/>
      <c r="F1123" s="784"/>
      <c r="G1123" s="440">
        <f>G1120*85.16%</f>
        <v>40.927896</v>
      </c>
    </row>
    <row r="1124" spans="1:7" ht="12.75">
      <c r="A1124" s="783" t="s">
        <v>443</v>
      </c>
      <c r="B1124" s="784"/>
      <c r="C1124" s="784"/>
      <c r="D1124" s="784"/>
      <c r="E1124" s="784"/>
      <c r="F1124" s="784"/>
      <c r="G1124" s="440">
        <f>G1123</f>
        <v>40.927896</v>
      </c>
    </row>
    <row r="1125" spans="1:7" ht="12.75">
      <c r="A1125" s="785" t="s">
        <v>444</v>
      </c>
      <c r="B1125" s="786"/>
      <c r="C1125" s="786"/>
      <c r="D1125" s="786"/>
      <c r="E1125" s="786"/>
      <c r="F1125" s="787"/>
      <c r="G1125" s="440">
        <f>G1121</f>
        <v>273.9147</v>
      </c>
    </row>
    <row r="1126" spans="1:7" ht="12.75">
      <c r="A1126" s="785" t="s">
        <v>445</v>
      </c>
      <c r="B1126" s="786"/>
      <c r="C1126" s="786"/>
      <c r="D1126" s="786"/>
      <c r="E1126" s="786"/>
      <c r="F1126" s="787"/>
      <c r="G1126" s="440">
        <f>G1120+G1124</f>
        <v>88.987896</v>
      </c>
    </row>
    <row r="1127" spans="1:7" ht="12.75">
      <c r="A1127" s="785" t="s">
        <v>446</v>
      </c>
      <c r="B1127" s="786"/>
      <c r="C1127" s="786"/>
      <c r="D1127" s="786"/>
      <c r="E1127" s="786"/>
      <c r="F1127" s="787"/>
      <c r="G1127" s="440">
        <f>SUM(G1125:G1126)</f>
        <v>362.902596</v>
      </c>
    </row>
    <row r="1128" spans="1:7" ht="12.75">
      <c r="A1128" s="796"/>
      <c r="B1128" s="797"/>
      <c r="C1128" s="797"/>
      <c r="D1128" s="797"/>
      <c r="E1128" s="797"/>
      <c r="F1128" s="797"/>
      <c r="G1128" s="798"/>
    </row>
    <row r="1129" spans="1:7" ht="12.75">
      <c r="A1129" s="711" t="s">
        <v>1742</v>
      </c>
      <c r="B1129" s="595"/>
      <c r="C1129" s="595"/>
      <c r="D1129" s="595"/>
      <c r="E1129" s="595"/>
      <c r="F1129" s="595"/>
      <c r="G1129" s="596"/>
    </row>
    <row r="1130" spans="1:7" ht="25.5">
      <c r="A1130" s="171" t="s">
        <v>1073</v>
      </c>
      <c r="B1130" s="182" t="s">
        <v>1074</v>
      </c>
      <c r="C1130" s="172" t="s">
        <v>72</v>
      </c>
      <c r="D1130" s="172" t="s">
        <v>75</v>
      </c>
      <c r="E1130" s="373"/>
      <c r="F1130" s="374"/>
      <c r="G1130" s="375"/>
    </row>
    <row r="1131" spans="1:7" ht="51">
      <c r="A1131" s="173" t="s">
        <v>537</v>
      </c>
      <c r="B1131" s="174" t="s">
        <v>538</v>
      </c>
      <c r="C1131" s="175" t="s">
        <v>73</v>
      </c>
      <c r="D1131" s="175" t="s">
        <v>75</v>
      </c>
      <c r="E1131" s="434">
        <v>4</v>
      </c>
      <c r="F1131" s="435">
        <v>0.31</v>
      </c>
      <c r="G1131" s="436">
        <f>E1131*F1131</f>
        <v>1.24</v>
      </c>
    </row>
    <row r="1132" spans="1:7" ht="25.5">
      <c r="A1132" s="173" t="s">
        <v>1075</v>
      </c>
      <c r="B1132" s="174" t="s">
        <v>1076</v>
      </c>
      <c r="C1132" s="175" t="s">
        <v>73</v>
      </c>
      <c r="D1132" s="175" t="s">
        <v>75</v>
      </c>
      <c r="E1132" s="434">
        <v>1</v>
      </c>
      <c r="F1132" s="435">
        <v>41.64</v>
      </c>
      <c r="G1132" s="436">
        <f>E1132*F1132</f>
        <v>41.64</v>
      </c>
    </row>
    <row r="1133" spans="1:7" ht="38.25">
      <c r="A1133" s="173" t="s">
        <v>492</v>
      </c>
      <c r="B1133" s="174" t="s">
        <v>493</v>
      </c>
      <c r="C1133" s="175" t="s">
        <v>72</v>
      </c>
      <c r="D1133" s="175" t="s">
        <v>77</v>
      </c>
      <c r="E1133" s="434">
        <v>0.2</v>
      </c>
      <c r="F1133" s="435">
        <v>12.86</v>
      </c>
      <c r="G1133" s="436">
        <f>E1133*F1133</f>
        <v>2.572</v>
      </c>
    </row>
    <row r="1134" spans="1:7" ht="25.5">
      <c r="A1134" s="173" t="s">
        <v>494</v>
      </c>
      <c r="B1134" s="174" t="s">
        <v>495</v>
      </c>
      <c r="C1134" s="175" t="s">
        <v>72</v>
      </c>
      <c r="D1134" s="175" t="s">
        <v>77</v>
      </c>
      <c r="E1134" s="434">
        <v>0.2</v>
      </c>
      <c r="F1134" s="435">
        <v>15.12</v>
      </c>
      <c r="G1134" s="436">
        <f>E1134*F1134</f>
        <v>3.024</v>
      </c>
    </row>
    <row r="1135" spans="1:7" ht="12.75">
      <c r="A1135" s="783" t="s">
        <v>439</v>
      </c>
      <c r="B1135" s="784"/>
      <c r="C1135" s="784"/>
      <c r="D1135" s="784"/>
      <c r="E1135" s="784"/>
      <c r="F1135" s="784"/>
      <c r="G1135" s="440">
        <f>ROUNDDOWN(SUM(G1133:G1134),2)</f>
        <v>5.59</v>
      </c>
    </row>
    <row r="1136" spans="1:7" ht="12.75">
      <c r="A1136" s="783" t="s">
        <v>440</v>
      </c>
      <c r="B1136" s="784"/>
      <c r="C1136" s="784"/>
      <c r="D1136" s="784"/>
      <c r="E1136" s="784"/>
      <c r="F1136" s="784"/>
      <c r="G1136" s="440">
        <f>SUM(G1131:G1132)</f>
        <v>42.88</v>
      </c>
    </row>
    <row r="1137" spans="1:7" ht="12.75">
      <c r="A1137" s="783" t="s">
        <v>441</v>
      </c>
      <c r="B1137" s="784"/>
      <c r="C1137" s="784"/>
      <c r="D1137" s="784"/>
      <c r="E1137" s="784"/>
      <c r="F1137" s="784"/>
      <c r="G1137" s="440">
        <f>SUM(G1135:G1136)</f>
        <v>48.47</v>
      </c>
    </row>
    <row r="1138" spans="1:7" ht="12.75">
      <c r="A1138" s="783" t="s">
        <v>442</v>
      </c>
      <c r="B1138" s="784"/>
      <c r="C1138" s="784"/>
      <c r="D1138" s="784"/>
      <c r="E1138" s="784"/>
      <c r="F1138" s="784"/>
      <c r="G1138" s="440">
        <f>G1135*85.16%</f>
        <v>4.760444</v>
      </c>
    </row>
    <row r="1139" spans="1:7" ht="12.75">
      <c r="A1139" s="783" t="s">
        <v>443</v>
      </c>
      <c r="B1139" s="784"/>
      <c r="C1139" s="784"/>
      <c r="D1139" s="784"/>
      <c r="E1139" s="784"/>
      <c r="F1139" s="784"/>
      <c r="G1139" s="440">
        <f>G1138</f>
        <v>4.760444</v>
      </c>
    </row>
    <row r="1140" spans="1:7" ht="12.75">
      <c r="A1140" s="785" t="s">
        <v>444</v>
      </c>
      <c r="B1140" s="786"/>
      <c r="C1140" s="786"/>
      <c r="D1140" s="786"/>
      <c r="E1140" s="786"/>
      <c r="F1140" s="787"/>
      <c r="G1140" s="440">
        <f>G1136</f>
        <v>42.88</v>
      </c>
    </row>
    <row r="1141" spans="1:7" ht="12.75">
      <c r="A1141" s="785" t="s">
        <v>445</v>
      </c>
      <c r="B1141" s="786"/>
      <c r="C1141" s="786"/>
      <c r="D1141" s="786"/>
      <c r="E1141" s="786"/>
      <c r="F1141" s="787"/>
      <c r="G1141" s="440">
        <f>G1135+G1139</f>
        <v>10.350444</v>
      </c>
    </row>
    <row r="1142" spans="1:7" ht="12.75">
      <c r="A1142" s="785" t="s">
        <v>446</v>
      </c>
      <c r="B1142" s="786"/>
      <c r="C1142" s="786"/>
      <c r="D1142" s="786"/>
      <c r="E1142" s="786"/>
      <c r="F1142" s="787"/>
      <c r="G1142" s="440">
        <f>SUM(G1140:G1141)</f>
        <v>53.230444000000006</v>
      </c>
    </row>
    <row r="1143" spans="1:7" ht="12.75">
      <c r="A1143" s="796"/>
      <c r="B1143" s="797"/>
      <c r="C1143" s="797"/>
      <c r="D1143" s="797"/>
      <c r="E1143" s="797"/>
      <c r="F1143" s="797"/>
      <c r="G1143" s="798"/>
    </row>
    <row r="1144" spans="1:7" ht="12.75">
      <c r="A1144" s="491" t="s">
        <v>83</v>
      </c>
      <c r="B1144" s="799" t="s">
        <v>574</v>
      </c>
      <c r="C1144" s="799"/>
      <c r="D1144" s="799"/>
      <c r="E1144" s="799"/>
      <c r="F1144" s="799"/>
      <c r="G1144" s="800"/>
    </row>
    <row r="1145" spans="1:7" ht="12.75">
      <c r="A1145" s="804"/>
      <c r="B1145" s="805"/>
      <c r="C1145" s="805"/>
      <c r="D1145" s="805"/>
      <c r="E1145" s="805"/>
      <c r="F1145" s="805"/>
      <c r="G1145" s="806"/>
    </row>
    <row r="1146" spans="1:7" ht="12.75">
      <c r="A1146" s="711" t="s">
        <v>1743</v>
      </c>
      <c r="B1146" s="595"/>
      <c r="C1146" s="595"/>
      <c r="D1146" s="595"/>
      <c r="E1146" s="595"/>
      <c r="F1146" s="595"/>
      <c r="G1146" s="596"/>
    </row>
    <row r="1147" spans="1:7" ht="38.25">
      <c r="A1147" s="171" t="s">
        <v>1077</v>
      </c>
      <c r="B1147" s="182" t="s">
        <v>1078</v>
      </c>
      <c r="C1147" s="172" t="s">
        <v>72</v>
      </c>
      <c r="D1147" s="172" t="s">
        <v>75</v>
      </c>
      <c r="E1147" s="373"/>
      <c r="F1147" s="374"/>
      <c r="G1147" s="375"/>
    </row>
    <row r="1148" spans="1:7" ht="25.5">
      <c r="A1148" s="173" t="s">
        <v>1079</v>
      </c>
      <c r="B1148" s="174" t="s">
        <v>1080</v>
      </c>
      <c r="C1148" s="175" t="s">
        <v>73</v>
      </c>
      <c r="D1148" s="175" t="s">
        <v>75</v>
      </c>
      <c r="E1148" s="434">
        <v>1</v>
      </c>
      <c r="F1148" s="435">
        <v>42.98</v>
      </c>
      <c r="G1148" s="436">
        <f>E1148*F1148</f>
        <v>42.98</v>
      </c>
    </row>
    <row r="1149" spans="1:7" ht="38.25">
      <c r="A1149" s="173" t="s">
        <v>885</v>
      </c>
      <c r="B1149" s="174" t="s">
        <v>886</v>
      </c>
      <c r="C1149" s="175" t="s">
        <v>72</v>
      </c>
      <c r="D1149" s="175" t="s">
        <v>75</v>
      </c>
      <c r="E1149" s="434">
        <v>1</v>
      </c>
      <c r="F1149" s="435">
        <v>2.74</v>
      </c>
      <c r="G1149" s="436">
        <f>E1149*F1149</f>
        <v>2.74</v>
      </c>
    </row>
    <row r="1150" spans="1:7" ht="12.75">
      <c r="A1150" s="783" t="s">
        <v>439</v>
      </c>
      <c r="B1150" s="784"/>
      <c r="C1150" s="784"/>
      <c r="D1150" s="784"/>
      <c r="E1150" s="784"/>
      <c r="F1150" s="784"/>
      <c r="G1150" s="440">
        <f>SUM(G1149)</f>
        <v>2.74</v>
      </c>
    </row>
    <row r="1151" spans="1:7" ht="12.75">
      <c r="A1151" s="783" t="s">
        <v>440</v>
      </c>
      <c r="B1151" s="784"/>
      <c r="C1151" s="784"/>
      <c r="D1151" s="784"/>
      <c r="E1151" s="784"/>
      <c r="F1151" s="784"/>
      <c r="G1151" s="440">
        <f>SUM(G1148)</f>
        <v>42.98</v>
      </c>
    </row>
    <row r="1152" spans="1:7" ht="12.75">
      <c r="A1152" s="783" t="s">
        <v>441</v>
      </c>
      <c r="B1152" s="784"/>
      <c r="C1152" s="784"/>
      <c r="D1152" s="784"/>
      <c r="E1152" s="784"/>
      <c r="F1152" s="784"/>
      <c r="G1152" s="440">
        <f>SUM(G1150:G1151)</f>
        <v>45.72</v>
      </c>
    </row>
    <row r="1153" spans="1:7" ht="12.75">
      <c r="A1153" s="783" t="s">
        <v>442</v>
      </c>
      <c r="B1153" s="784"/>
      <c r="C1153" s="784"/>
      <c r="D1153" s="784"/>
      <c r="E1153" s="784"/>
      <c r="F1153" s="784"/>
      <c r="G1153" s="440">
        <f>G1150*85.16%</f>
        <v>2.333384</v>
      </c>
    </row>
    <row r="1154" spans="1:7" ht="12.75">
      <c r="A1154" s="783" t="s">
        <v>443</v>
      </c>
      <c r="B1154" s="784"/>
      <c r="C1154" s="784"/>
      <c r="D1154" s="784"/>
      <c r="E1154" s="784"/>
      <c r="F1154" s="784"/>
      <c r="G1154" s="440">
        <f>G1153</f>
        <v>2.333384</v>
      </c>
    </row>
    <row r="1155" spans="1:7" ht="12.75">
      <c r="A1155" s="785" t="s">
        <v>444</v>
      </c>
      <c r="B1155" s="786"/>
      <c r="C1155" s="786"/>
      <c r="D1155" s="786"/>
      <c r="E1155" s="786"/>
      <c r="F1155" s="787"/>
      <c r="G1155" s="440">
        <f>G1151</f>
        <v>42.98</v>
      </c>
    </row>
    <row r="1156" spans="1:7" ht="12.75">
      <c r="A1156" s="785" t="s">
        <v>445</v>
      </c>
      <c r="B1156" s="786"/>
      <c r="C1156" s="786"/>
      <c r="D1156" s="786"/>
      <c r="E1156" s="786"/>
      <c r="F1156" s="787"/>
      <c r="G1156" s="440">
        <f>G1150+G1154</f>
        <v>5.073384000000001</v>
      </c>
    </row>
    <row r="1157" spans="1:7" ht="12.75">
      <c r="A1157" s="785" t="s">
        <v>446</v>
      </c>
      <c r="B1157" s="786"/>
      <c r="C1157" s="786"/>
      <c r="D1157" s="786"/>
      <c r="E1157" s="786"/>
      <c r="F1157" s="787"/>
      <c r="G1157" s="440">
        <f>SUM(G1155:G1156)</f>
        <v>48.053383999999994</v>
      </c>
    </row>
    <row r="1158" spans="1:7" ht="12.75">
      <c r="A1158" s="796"/>
      <c r="B1158" s="797"/>
      <c r="C1158" s="797"/>
      <c r="D1158" s="797"/>
      <c r="E1158" s="797"/>
      <c r="F1158" s="797"/>
      <c r="G1158" s="798"/>
    </row>
    <row r="1159" spans="1:7" ht="12.75">
      <c r="A1159" s="804"/>
      <c r="B1159" s="805"/>
      <c r="C1159" s="805"/>
      <c r="D1159" s="805"/>
      <c r="E1159" s="805"/>
      <c r="F1159" s="805"/>
      <c r="G1159" s="806"/>
    </row>
    <row r="1160" spans="1:7" ht="12.75">
      <c r="A1160" s="711" t="s">
        <v>1744</v>
      </c>
      <c r="B1160" s="595"/>
      <c r="C1160" s="595"/>
      <c r="D1160" s="595"/>
      <c r="E1160" s="595"/>
      <c r="F1160" s="595"/>
      <c r="G1160" s="596"/>
    </row>
    <row r="1161" spans="1:7" ht="51">
      <c r="A1161" s="171" t="s">
        <v>1083</v>
      </c>
      <c r="B1161" s="182" t="s">
        <v>1084</v>
      </c>
      <c r="C1161" s="172" t="s">
        <v>72</v>
      </c>
      <c r="D1161" s="172" t="s">
        <v>75</v>
      </c>
      <c r="E1161" s="373"/>
      <c r="F1161" s="374"/>
      <c r="G1161" s="375"/>
    </row>
    <row r="1162" spans="1:7" ht="38.25">
      <c r="A1162" s="173" t="s">
        <v>1085</v>
      </c>
      <c r="B1162" s="174" t="s">
        <v>1086</v>
      </c>
      <c r="C1162" s="175" t="s">
        <v>73</v>
      </c>
      <c r="D1162" s="175" t="s">
        <v>75</v>
      </c>
      <c r="E1162" s="434">
        <v>1</v>
      </c>
      <c r="F1162" s="435">
        <v>40</v>
      </c>
      <c r="G1162" s="436">
        <f>E1162*F1162</f>
        <v>40</v>
      </c>
    </row>
    <row r="1163" spans="1:7" ht="38.25">
      <c r="A1163" s="173" t="s">
        <v>885</v>
      </c>
      <c r="B1163" s="174" t="s">
        <v>886</v>
      </c>
      <c r="C1163" s="175" t="s">
        <v>72</v>
      </c>
      <c r="D1163" s="175" t="s">
        <v>75</v>
      </c>
      <c r="E1163" s="434">
        <v>2</v>
      </c>
      <c r="F1163" s="435">
        <v>2.74</v>
      </c>
      <c r="G1163" s="436">
        <f>E1163*F1163</f>
        <v>5.48</v>
      </c>
    </row>
    <row r="1164" spans="1:7" ht="12.75">
      <c r="A1164" s="783" t="s">
        <v>439</v>
      </c>
      <c r="B1164" s="784"/>
      <c r="C1164" s="784"/>
      <c r="D1164" s="784"/>
      <c r="E1164" s="784"/>
      <c r="F1164" s="784"/>
      <c r="G1164" s="440">
        <f>SUM(G1163)</f>
        <v>5.48</v>
      </c>
    </row>
    <row r="1165" spans="1:7" ht="12.75">
      <c r="A1165" s="783" t="s">
        <v>440</v>
      </c>
      <c r="B1165" s="784"/>
      <c r="C1165" s="784"/>
      <c r="D1165" s="784"/>
      <c r="E1165" s="784"/>
      <c r="F1165" s="784"/>
      <c r="G1165" s="440">
        <f>SUM(G1162)</f>
        <v>40</v>
      </c>
    </row>
    <row r="1166" spans="1:7" ht="12.75">
      <c r="A1166" s="783" t="s">
        <v>441</v>
      </c>
      <c r="B1166" s="784"/>
      <c r="C1166" s="784"/>
      <c r="D1166" s="784"/>
      <c r="E1166" s="784"/>
      <c r="F1166" s="784"/>
      <c r="G1166" s="440">
        <f>SUM(G1164:G1165)</f>
        <v>45.480000000000004</v>
      </c>
    </row>
    <row r="1167" spans="1:7" ht="12.75">
      <c r="A1167" s="783" t="s">
        <v>442</v>
      </c>
      <c r="B1167" s="784"/>
      <c r="C1167" s="784"/>
      <c r="D1167" s="784"/>
      <c r="E1167" s="784"/>
      <c r="F1167" s="784"/>
      <c r="G1167" s="440">
        <f>G1164*85.16%</f>
        <v>4.666768</v>
      </c>
    </row>
    <row r="1168" spans="1:7" ht="12.75">
      <c r="A1168" s="783" t="s">
        <v>443</v>
      </c>
      <c r="B1168" s="784"/>
      <c r="C1168" s="784"/>
      <c r="D1168" s="784"/>
      <c r="E1168" s="784"/>
      <c r="F1168" s="784"/>
      <c r="G1168" s="440">
        <f>G1167</f>
        <v>4.666768</v>
      </c>
    </row>
    <row r="1169" spans="1:7" ht="12.75">
      <c r="A1169" s="785" t="s">
        <v>444</v>
      </c>
      <c r="B1169" s="786"/>
      <c r="C1169" s="786"/>
      <c r="D1169" s="786"/>
      <c r="E1169" s="786"/>
      <c r="F1169" s="787"/>
      <c r="G1169" s="440">
        <f>G1165</f>
        <v>40</v>
      </c>
    </row>
    <row r="1170" spans="1:7" ht="12.75">
      <c r="A1170" s="785" t="s">
        <v>445</v>
      </c>
      <c r="B1170" s="786"/>
      <c r="C1170" s="786"/>
      <c r="D1170" s="786"/>
      <c r="E1170" s="786"/>
      <c r="F1170" s="787"/>
      <c r="G1170" s="440">
        <f>G1164+G1168</f>
        <v>10.146768000000002</v>
      </c>
    </row>
    <row r="1171" spans="1:7" ht="12.75">
      <c r="A1171" s="785" t="s">
        <v>446</v>
      </c>
      <c r="B1171" s="786"/>
      <c r="C1171" s="786"/>
      <c r="D1171" s="786"/>
      <c r="E1171" s="786"/>
      <c r="F1171" s="787"/>
      <c r="G1171" s="440">
        <f>SUM(G1169:G1170)</f>
        <v>50.146768</v>
      </c>
    </row>
    <row r="1172" spans="1:7" ht="12.75">
      <c r="A1172" s="796"/>
      <c r="B1172" s="797"/>
      <c r="C1172" s="797"/>
      <c r="D1172" s="797"/>
      <c r="E1172" s="797"/>
      <c r="F1172" s="797"/>
      <c r="G1172" s="798"/>
    </row>
    <row r="1173" spans="1:7" ht="12.75">
      <c r="A1173" s="804"/>
      <c r="B1173" s="805"/>
      <c r="C1173" s="805"/>
      <c r="D1173" s="805"/>
      <c r="E1173" s="805"/>
      <c r="F1173" s="805"/>
      <c r="G1173" s="806"/>
    </row>
    <row r="1174" spans="1:7" ht="12.75">
      <c r="A1174" s="704" t="s">
        <v>1745</v>
      </c>
      <c r="B1174" s="595"/>
      <c r="C1174" s="595"/>
      <c r="D1174" s="595"/>
      <c r="E1174" s="595"/>
      <c r="F1174" s="595"/>
      <c r="G1174" s="596"/>
    </row>
    <row r="1175" spans="1:7" ht="76.5">
      <c r="A1175" s="171" t="s">
        <v>1024</v>
      </c>
      <c r="B1175" s="182" t="s">
        <v>1025</v>
      </c>
      <c r="C1175" s="172" t="s">
        <v>72</v>
      </c>
      <c r="D1175" s="172" t="s">
        <v>75</v>
      </c>
      <c r="E1175" s="373"/>
      <c r="F1175" s="374"/>
      <c r="G1175" s="375"/>
    </row>
    <row r="1176" spans="1:7" ht="51">
      <c r="A1176" s="173" t="s">
        <v>1026</v>
      </c>
      <c r="B1176" s="174" t="s">
        <v>1027</v>
      </c>
      <c r="C1176" s="175" t="s">
        <v>73</v>
      </c>
      <c r="D1176" s="175" t="s">
        <v>82</v>
      </c>
      <c r="E1176" s="434">
        <v>0.19</v>
      </c>
      <c r="F1176" s="435">
        <v>452.83</v>
      </c>
      <c r="G1176" s="436">
        <f aca="true" t="shared" si="9" ref="G1176:G1181">E1176*F1176</f>
        <v>86.0377</v>
      </c>
    </row>
    <row r="1177" spans="1:7" ht="51">
      <c r="A1177" s="173" t="s">
        <v>537</v>
      </c>
      <c r="B1177" s="174" t="s">
        <v>538</v>
      </c>
      <c r="C1177" s="175" t="s">
        <v>73</v>
      </c>
      <c r="D1177" s="175" t="s">
        <v>75</v>
      </c>
      <c r="E1177" s="434">
        <v>4</v>
      </c>
      <c r="F1177" s="435">
        <v>0.31</v>
      </c>
      <c r="G1177" s="436">
        <f t="shared" si="9"/>
        <v>1.24</v>
      </c>
    </row>
    <row r="1178" spans="1:7" ht="38.25">
      <c r="A1178" s="173" t="s">
        <v>1028</v>
      </c>
      <c r="B1178" s="174" t="s">
        <v>1029</v>
      </c>
      <c r="C1178" s="175" t="s">
        <v>73</v>
      </c>
      <c r="D1178" s="175" t="s">
        <v>75</v>
      </c>
      <c r="E1178" s="434">
        <v>2</v>
      </c>
      <c r="F1178" s="435">
        <v>19.58</v>
      </c>
      <c r="G1178" s="436">
        <f t="shared" si="9"/>
        <v>39.16</v>
      </c>
    </row>
    <row r="1179" spans="1:7" ht="12.75">
      <c r="A1179" s="173" t="s">
        <v>555</v>
      </c>
      <c r="B1179" s="174" t="s">
        <v>556</v>
      </c>
      <c r="C1179" s="175" t="s">
        <v>73</v>
      </c>
      <c r="D1179" s="175" t="s">
        <v>424</v>
      </c>
      <c r="E1179" s="434">
        <v>0.15</v>
      </c>
      <c r="F1179" s="435">
        <v>22.18</v>
      </c>
      <c r="G1179" s="436">
        <f t="shared" si="9"/>
        <v>3.327</v>
      </c>
    </row>
    <row r="1180" spans="1:7" ht="25.5">
      <c r="A1180" s="173" t="s">
        <v>1006</v>
      </c>
      <c r="B1180" s="174" t="s">
        <v>1007</v>
      </c>
      <c r="C1180" s="175" t="s">
        <v>72</v>
      </c>
      <c r="D1180" s="175" t="s">
        <v>77</v>
      </c>
      <c r="E1180" s="434">
        <v>0.35</v>
      </c>
      <c r="F1180" s="435">
        <v>12.63</v>
      </c>
      <c r="G1180" s="436">
        <f t="shared" si="9"/>
        <v>4.4205</v>
      </c>
    </row>
    <row r="1181" spans="1:7" ht="25.5">
      <c r="A1181" s="173" t="s">
        <v>449</v>
      </c>
      <c r="B1181" s="174" t="s">
        <v>450</v>
      </c>
      <c r="C1181" s="175" t="s">
        <v>72</v>
      </c>
      <c r="D1181" s="175" t="s">
        <v>77</v>
      </c>
      <c r="E1181" s="434">
        <v>0.35</v>
      </c>
      <c r="F1181" s="435">
        <v>15.14</v>
      </c>
      <c r="G1181" s="436">
        <f t="shared" si="9"/>
        <v>5.2989999999999995</v>
      </c>
    </row>
    <row r="1182" spans="1:7" ht="12.75">
      <c r="A1182" s="783" t="s">
        <v>439</v>
      </c>
      <c r="B1182" s="784"/>
      <c r="C1182" s="784"/>
      <c r="D1182" s="784"/>
      <c r="E1182" s="784"/>
      <c r="F1182" s="784"/>
      <c r="G1182" s="440">
        <f>SUM(G1180:G1181)</f>
        <v>9.7195</v>
      </c>
    </row>
    <row r="1183" spans="1:7" ht="12.75">
      <c r="A1183" s="783" t="s">
        <v>440</v>
      </c>
      <c r="B1183" s="784"/>
      <c r="C1183" s="784"/>
      <c r="D1183" s="784"/>
      <c r="E1183" s="784"/>
      <c r="F1183" s="784"/>
      <c r="G1183" s="440">
        <f>SUM(G1176:G1179)</f>
        <v>129.7647</v>
      </c>
    </row>
    <row r="1184" spans="1:7" ht="12.75">
      <c r="A1184" s="783" t="s">
        <v>441</v>
      </c>
      <c r="B1184" s="784"/>
      <c r="C1184" s="784"/>
      <c r="D1184" s="784"/>
      <c r="E1184" s="784"/>
      <c r="F1184" s="784"/>
      <c r="G1184" s="440">
        <f>SUM(G1182:G1183)</f>
        <v>139.48420000000002</v>
      </c>
    </row>
    <row r="1185" spans="1:7" ht="12.75">
      <c r="A1185" s="783" t="s">
        <v>442</v>
      </c>
      <c r="B1185" s="784"/>
      <c r="C1185" s="784"/>
      <c r="D1185" s="784"/>
      <c r="E1185" s="784"/>
      <c r="F1185" s="784"/>
      <c r="G1185" s="440">
        <f>G1182*85.16%</f>
        <v>8.2771262</v>
      </c>
    </row>
    <row r="1186" spans="1:7" ht="12.75">
      <c r="A1186" s="783" t="s">
        <v>443</v>
      </c>
      <c r="B1186" s="784"/>
      <c r="C1186" s="784"/>
      <c r="D1186" s="784"/>
      <c r="E1186" s="784"/>
      <c r="F1186" s="784"/>
      <c r="G1186" s="440">
        <f>G1185</f>
        <v>8.2771262</v>
      </c>
    </row>
    <row r="1187" spans="1:7" ht="12.75">
      <c r="A1187" s="785" t="s">
        <v>444</v>
      </c>
      <c r="B1187" s="786"/>
      <c r="C1187" s="786"/>
      <c r="D1187" s="786"/>
      <c r="E1187" s="786"/>
      <c r="F1187" s="787"/>
      <c r="G1187" s="440">
        <f>G1183</f>
        <v>129.7647</v>
      </c>
    </row>
    <row r="1188" spans="1:7" ht="12.75">
      <c r="A1188" s="785" t="s">
        <v>445</v>
      </c>
      <c r="B1188" s="786"/>
      <c r="C1188" s="786"/>
      <c r="D1188" s="786"/>
      <c r="E1188" s="786"/>
      <c r="F1188" s="787"/>
      <c r="G1188" s="440">
        <f>G1182+G1186</f>
        <v>17.9966262</v>
      </c>
    </row>
    <row r="1189" spans="1:7" ht="12.75">
      <c r="A1189" s="785" t="s">
        <v>446</v>
      </c>
      <c r="B1189" s="786"/>
      <c r="C1189" s="786"/>
      <c r="D1189" s="786"/>
      <c r="E1189" s="786"/>
      <c r="F1189" s="787"/>
      <c r="G1189" s="440">
        <f>SUM(G1187:G1188)</f>
        <v>147.7613262</v>
      </c>
    </row>
    <row r="1190" spans="1:7" ht="12.75">
      <c r="A1190" s="796"/>
      <c r="B1190" s="797"/>
      <c r="C1190" s="797"/>
      <c r="D1190" s="797"/>
      <c r="E1190" s="797"/>
      <c r="F1190" s="797"/>
      <c r="G1190" s="798"/>
    </row>
    <row r="1191" spans="1:7" ht="12.75">
      <c r="A1191" s="491" t="s">
        <v>83</v>
      </c>
      <c r="B1191" s="799" t="s">
        <v>570</v>
      </c>
      <c r="C1191" s="799"/>
      <c r="D1191" s="799"/>
      <c r="E1191" s="799"/>
      <c r="F1191" s="799"/>
      <c r="G1191" s="800"/>
    </row>
    <row r="1192" spans="1:7" ht="12.75">
      <c r="A1192" s="804"/>
      <c r="B1192" s="805"/>
      <c r="C1192" s="805"/>
      <c r="D1192" s="805"/>
      <c r="E1192" s="805"/>
      <c r="F1192" s="805"/>
      <c r="G1192" s="806"/>
    </row>
    <row r="1193" spans="1:7" ht="12.75">
      <c r="A1193" s="594"/>
      <c r="B1193" s="595"/>
      <c r="C1193" s="595"/>
      <c r="D1193" s="595"/>
      <c r="E1193" s="595"/>
      <c r="F1193" s="595"/>
      <c r="G1193" s="596"/>
    </row>
    <row r="1194" spans="1:7" ht="12.75">
      <c r="A1194" s="707" t="s">
        <v>1728</v>
      </c>
      <c r="B1194" s="595"/>
      <c r="C1194" s="595"/>
      <c r="D1194" s="595"/>
      <c r="E1194" s="595"/>
      <c r="F1194" s="595"/>
      <c r="G1194" s="596"/>
    </row>
    <row r="1195" spans="1:7" ht="51">
      <c r="A1195" s="171" t="s">
        <v>1091</v>
      </c>
      <c r="B1195" s="182" t="s">
        <v>1061</v>
      </c>
      <c r="C1195" s="172" t="s">
        <v>72</v>
      </c>
      <c r="D1195" s="172" t="s">
        <v>75</v>
      </c>
      <c r="E1195" s="373"/>
      <c r="F1195" s="374"/>
      <c r="G1195" s="436"/>
    </row>
    <row r="1196" spans="1:7" ht="38.25">
      <c r="A1196" s="173" t="s">
        <v>1092</v>
      </c>
      <c r="B1196" s="174" t="s">
        <v>1093</v>
      </c>
      <c r="C1196" s="175" t="s">
        <v>73</v>
      </c>
      <c r="D1196" s="175" t="s">
        <v>75</v>
      </c>
      <c r="E1196" s="434">
        <v>1</v>
      </c>
      <c r="F1196" s="435">
        <v>35</v>
      </c>
      <c r="G1196" s="436">
        <f>E1196*F1196</f>
        <v>35</v>
      </c>
    </row>
    <row r="1197" spans="1:7" ht="25.5">
      <c r="A1197" s="173" t="s">
        <v>1012</v>
      </c>
      <c r="B1197" s="174" t="s">
        <v>1013</v>
      </c>
      <c r="C1197" s="175" t="s">
        <v>73</v>
      </c>
      <c r="D1197" s="175" t="s">
        <v>75</v>
      </c>
      <c r="E1197" s="434">
        <v>0.0304</v>
      </c>
      <c r="F1197" s="435">
        <v>2.55</v>
      </c>
      <c r="G1197" s="436">
        <f>E1197*F1197</f>
        <v>0.07751999999999999</v>
      </c>
    </row>
    <row r="1198" spans="1:7" ht="25.5">
      <c r="A1198" s="173" t="s">
        <v>494</v>
      </c>
      <c r="B1198" s="174" t="s">
        <v>495</v>
      </c>
      <c r="C1198" s="175" t="s">
        <v>72</v>
      </c>
      <c r="D1198" s="175" t="s">
        <v>77</v>
      </c>
      <c r="E1198" s="434">
        <v>0.1</v>
      </c>
      <c r="F1198" s="435">
        <v>15.12</v>
      </c>
      <c r="G1198" s="436">
        <f>E1198*F1198</f>
        <v>1.512</v>
      </c>
    </row>
    <row r="1199" spans="1:7" ht="25.5">
      <c r="A1199" s="173" t="s">
        <v>437</v>
      </c>
      <c r="B1199" s="174" t="s">
        <v>438</v>
      </c>
      <c r="C1199" s="175" t="s">
        <v>72</v>
      </c>
      <c r="D1199" s="175" t="s">
        <v>77</v>
      </c>
      <c r="E1199" s="434">
        <v>0.03</v>
      </c>
      <c r="F1199" s="435">
        <v>12.64</v>
      </c>
      <c r="G1199" s="436">
        <f>E1199*F1199</f>
        <v>0.3792</v>
      </c>
    </row>
    <row r="1200" spans="1:7" ht="12.75">
      <c r="A1200" s="783" t="s">
        <v>439</v>
      </c>
      <c r="B1200" s="784"/>
      <c r="C1200" s="784"/>
      <c r="D1200" s="784"/>
      <c r="E1200" s="784"/>
      <c r="F1200" s="784"/>
      <c r="G1200" s="440">
        <f>SUM(G1198:G1199)</f>
        <v>1.8912</v>
      </c>
    </row>
    <row r="1201" spans="1:7" ht="12.75">
      <c r="A1201" s="783" t="s">
        <v>440</v>
      </c>
      <c r="B1201" s="784"/>
      <c r="C1201" s="784"/>
      <c r="D1201" s="784"/>
      <c r="E1201" s="784"/>
      <c r="F1201" s="784"/>
      <c r="G1201" s="440">
        <f>SUM(G1196:G1197)</f>
        <v>35.07752</v>
      </c>
    </row>
    <row r="1202" spans="1:7" ht="12.75">
      <c r="A1202" s="783" t="s">
        <v>441</v>
      </c>
      <c r="B1202" s="784"/>
      <c r="C1202" s="784"/>
      <c r="D1202" s="784"/>
      <c r="E1202" s="784"/>
      <c r="F1202" s="784"/>
      <c r="G1202" s="440">
        <f>SUM(G1200:G1201)</f>
        <v>36.96872</v>
      </c>
    </row>
    <row r="1203" spans="1:7" ht="12.75">
      <c r="A1203" s="783" t="s">
        <v>442</v>
      </c>
      <c r="B1203" s="784"/>
      <c r="C1203" s="784"/>
      <c r="D1203" s="784"/>
      <c r="E1203" s="784"/>
      <c r="F1203" s="784"/>
      <c r="G1203" s="440">
        <f>G1200*85.16%</f>
        <v>1.6105459199999999</v>
      </c>
    </row>
    <row r="1204" spans="1:7" ht="12.75">
      <c r="A1204" s="783" t="s">
        <v>443</v>
      </c>
      <c r="B1204" s="784"/>
      <c r="C1204" s="784"/>
      <c r="D1204" s="784"/>
      <c r="E1204" s="784"/>
      <c r="F1204" s="784"/>
      <c r="G1204" s="440">
        <f>G1203</f>
        <v>1.6105459199999999</v>
      </c>
    </row>
    <row r="1205" spans="1:7" ht="12.75">
      <c r="A1205" s="785" t="s">
        <v>444</v>
      </c>
      <c r="B1205" s="786"/>
      <c r="C1205" s="786"/>
      <c r="D1205" s="786"/>
      <c r="E1205" s="786"/>
      <c r="F1205" s="787"/>
      <c r="G1205" s="440">
        <f>G1201</f>
        <v>35.07752</v>
      </c>
    </row>
    <row r="1206" spans="1:7" ht="12.75">
      <c r="A1206" s="785" t="s">
        <v>445</v>
      </c>
      <c r="B1206" s="786"/>
      <c r="C1206" s="786"/>
      <c r="D1206" s="786"/>
      <c r="E1206" s="786"/>
      <c r="F1206" s="787"/>
      <c r="G1206" s="440">
        <f>G1200+G1204</f>
        <v>3.50174592</v>
      </c>
    </row>
    <row r="1207" spans="1:7" ht="12.75">
      <c r="A1207" s="785" t="s">
        <v>446</v>
      </c>
      <c r="B1207" s="786"/>
      <c r="C1207" s="786"/>
      <c r="D1207" s="786"/>
      <c r="E1207" s="786"/>
      <c r="F1207" s="787"/>
      <c r="G1207" s="440">
        <f>SUM(G1205:G1206)</f>
        <v>38.57926592</v>
      </c>
    </row>
    <row r="1208" spans="1:7" ht="12.75">
      <c r="A1208" s="796"/>
      <c r="B1208" s="797"/>
      <c r="C1208" s="797"/>
      <c r="D1208" s="797"/>
      <c r="E1208" s="797"/>
      <c r="F1208" s="797"/>
      <c r="G1208" s="798"/>
    </row>
    <row r="1209" spans="1:7" ht="12.75">
      <c r="A1209" s="599"/>
      <c r="B1209" s="600"/>
      <c r="C1209" s="600"/>
      <c r="D1209" s="600"/>
      <c r="E1209" s="600"/>
      <c r="F1209" s="600"/>
      <c r="G1209" s="601"/>
    </row>
    <row r="1210" spans="1:7" ht="12.75">
      <c r="A1210" s="599"/>
      <c r="B1210" s="600"/>
      <c r="C1210" s="600"/>
      <c r="D1210" s="600"/>
      <c r="E1210" s="600"/>
      <c r="F1210" s="600"/>
      <c r="G1210" s="601"/>
    </row>
    <row r="1211" spans="1:7" ht="12.75">
      <c r="A1211" s="707" t="s">
        <v>1568</v>
      </c>
      <c r="B1211" s="707" t="s">
        <v>1569</v>
      </c>
      <c r="C1211" s="600"/>
      <c r="D1211" s="600"/>
      <c r="E1211" s="600"/>
      <c r="F1211" s="600"/>
      <c r="G1211" s="601"/>
    </row>
    <row r="1212" spans="1:7" ht="12.75">
      <c r="A1212" s="707" t="s">
        <v>1726</v>
      </c>
      <c r="B1212" s="707"/>
      <c r="C1212" s="600"/>
      <c r="D1212" s="600"/>
      <c r="E1212" s="600"/>
      <c r="F1212" s="600"/>
      <c r="G1212" s="601"/>
    </row>
    <row r="1213" spans="1:7" ht="51">
      <c r="A1213" s="171" t="s">
        <v>1087</v>
      </c>
      <c r="B1213" s="182" t="s">
        <v>1088</v>
      </c>
      <c r="C1213" s="172" t="s">
        <v>72</v>
      </c>
      <c r="D1213" s="172" t="s">
        <v>75</v>
      </c>
      <c r="E1213" s="373"/>
      <c r="F1213" s="374"/>
      <c r="G1213" s="375"/>
    </row>
    <row r="1214" spans="1:7" ht="25.5">
      <c r="A1214" s="173" t="s">
        <v>1089</v>
      </c>
      <c r="B1214" s="174" t="s">
        <v>1090</v>
      </c>
      <c r="C1214" s="175" t="s">
        <v>73</v>
      </c>
      <c r="D1214" s="175" t="s">
        <v>75</v>
      </c>
      <c r="E1214" s="434">
        <v>1</v>
      </c>
      <c r="F1214" s="435">
        <v>554.5</v>
      </c>
      <c r="G1214" s="436">
        <f>E1214*F1214</f>
        <v>554.5</v>
      </c>
    </row>
    <row r="1215" spans="1:7" ht="12.75">
      <c r="A1215" s="173" t="s">
        <v>1018</v>
      </c>
      <c r="B1215" s="174" t="s">
        <v>1019</v>
      </c>
      <c r="C1215" s="175" t="s">
        <v>73</v>
      </c>
      <c r="D1215" s="175" t="s">
        <v>424</v>
      </c>
      <c r="E1215" s="434">
        <v>0.117</v>
      </c>
      <c r="F1215" s="435">
        <v>42.53</v>
      </c>
      <c r="G1215" s="436">
        <f>E1215*F1215</f>
        <v>4.9760100000000005</v>
      </c>
    </row>
    <row r="1216" spans="1:7" ht="63.75">
      <c r="A1216" s="173" t="s">
        <v>1048</v>
      </c>
      <c r="B1216" s="174" t="s">
        <v>1049</v>
      </c>
      <c r="C1216" s="175" t="s">
        <v>73</v>
      </c>
      <c r="D1216" s="175" t="s">
        <v>75</v>
      </c>
      <c r="E1216" s="434">
        <v>6</v>
      </c>
      <c r="F1216" s="435">
        <v>6.77</v>
      </c>
      <c r="G1216" s="436">
        <f>E1216*F1216</f>
        <v>40.62</v>
      </c>
    </row>
    <row r="1217" spans="1:7" ht="25.5">
      <c r="A1217" s="173" t="s">
        <v>494</v>
      </c>
      <c r="B1217" s="174" t="s">
        <v>495</v>
      </c>
      <c r="C1217" s="175" t="s">
        <v>72</v>
      </c>
      <c r="D1217" s="175" t="s">
        <v>77</v>
      </c>
      <c r="E1217" s="434">
        <v>1.77</v>
      </c>
      <c r="F1217" s="435">
        <v>15.12</v>
      </c>
      <c r="G1217" s="436">
        <f>E1217*F1217</f>
        <v>26.7624</v>
      </c>
    </row>
    <row r="1218" spans="1:7" ht="25.5">
      <c r="A1218" s="173" t="s">
        <v>437</v>
      </c>
      <c r="B1218" s="174" t="s">
        <v>438</v>
      </c>
      <c r="C1218" s="175" t="s">
        <v>72</v>
      </c>
      <c r="D1218" s="175" t="s">
        <v>77</v>
      </c>
      <c r="E1218" s="434">
        <v>0.71</v>
      </c>
      <c r="F1218" s="435">
        <v>12.64</v>
      </c>
      <c r="G1218" s="436">
        <f>E1218*F1218</f>
        <v>8.9744</v>
      </c>
    </row>
    <row r="1219" spans="1:7" ht="12.75">
      <c r="A1219" s="783" t="s">
        <v>439</v>
      </c>
      <c r="B1219" s="784"/>
      <c r="C1219" s="784"/>
      <c r="D1219" s="784"/>
      <c r="E1219" s="784"/>
      <c r="F1219" s="784"/>
      <c r="G1219" s="440">
        <f>SUM(G1217:G1218)</f>
        <v>35.7368</v>
      </c>
    </row>
    <row r="1220" spans="1:7" ht="12.75">
      <c r="A1220" s="783" t="s">
        <v>440</v>
      </c>
      <c r="B1220" s="784"/>
      <c r="C1220" s="784"/>
      <c r="D1220" s="784"/>
      <c r="E1220" s="784"/>
      <c r="F1220" s="784"/>
      <c r="G1220" s="440">
        <f>SUM(G1214:G1216)</f>
        <v>600.09601</v>
      </c>
    </row>
    <row r="1221" spans="1:7" ht="12.75">
      <c r="A1221" s="783" t="s">
        <v>441</v>
      </c>
      <c r="B1221" s="784"/>
      <c r="C1221" s="784"/>
      <c r="D1221" s="784"/>
      <c r="E1221" s="784"/>
      <c r="F1221" s="784"/>
      <c r="G1221" s="440">
        <f>SUM(G1219:G1220)</f>
        <v>635.83281</v>
      </c>
    </row>
    <row r="1222" spans="1:7" ht="12.75">
      <c r="A1222" s="783" t="s">
        <v>442</v>
      </c>
      <c r="B1222" s="784"/>
      <c r="C1222" s="784"/>
      <c r="D1222" s="784"/>
      <c r="E1222" s="784"/>
      <c r="F1222" s="784"/>
      <c r="G1222" s="440">
        <f>G1219*85.16%</f>
        <v>30.43345888</v>
      </c>
    </row>
    <row r="1223" spans="1:7" ht="12.75">
      <c r="A1223" s="783" t="s">
        <v>443</v>
      </c>
      <c r="B1223" s="784"/>
      <c r="C1223" s="784"/>
      <c r="D1223" s="784"/>
      <c r="E1223" s="784"/>
      <c r="F1223" s="784"/>
      <c r="G1223" s="440">
        <f>G1222</f>
        <v>30.43345888</v>
      </c>
    </row>
    <row r="1224" spans="1:7" ht="12.75">
      <c r="A1224" s="785" t="s">
        <v>444</v>
      </c>
      <c r="B1224" s="786"/>
      <c r="C1224" s="786"/>
      <c r="D1224" s="786"/>
      <c r="E1224" s="786"/>
      <c r="F1224" s="787"/>
      <c r="G1224" s="440">
        <f>G1220</f>
        <v>600.09601</v>
      </c>
    </row>
    <row r="1225" spans="1:7" ht="12.75">
      <c r="A1225" s="785" t="s">
        <v>445</v>
      </c>
      <c r="B1225" s="786"/>
      <c r="C1225" s="786"/>
      <c r="D1225" s="786"/>
      <c r="E1225" s="786"/>
      <c r="F1225" s="787"/>
      <c r="G1225" s="440">
        <f>G1219+G1223</f>
        <v>66.17025888</v>
      </c>
    </row>
    <row r="1226" spans="1:7" ht="12.75">
      <c r="A1226" s="785" t="s">
        <v>446</v>
      </c>
      <c r="B1226" s="786"/>
      <c r="C1226" s="786"/>
      <c r="D1226" s="786"/>
      <c r="E1226" s="786"/>
      <c r="F1226" s="787"/>
      <c r="G1226" s="440">
        <f>SUM(G1224:G1225)</f>
        <v>666.26626888</v>
      </c>
    </row>
    <row r="1227" spans="1:7" ht="12.75">
      <c r="A1227" s="796"/>
      <c r="B1227" s="797"/>
      <c r="C1227" s="797"/>
      <c r="D1227" s="797"/>
      <c r="E1227" s="797"/>
      <c r="F1227" s="797"/>
      <c r="G1227" s="798"/>
    </row>
    <row r="1228" spans="1:7" ht="12.75">
      <c r="A1228" s="804"/>
      <c r="B1228" s="805"/>
      <c r="C1228" s="805"/>
      <c r="D1228" s="805"/>
      <c r="E1228" s="805"/>
      <c r="F1228" s="805"/>
      <c r="G1228" s="806"/>
    </row>
    <row r="1229" spans="1:7" ht="12.75">
      <c r="A1229" s="594"/>
      <c r="B1229" s="595"/>
      <c r="C1229" s="595"/>
      <c r="D1229" s="595"/>
      <c r="E1229" s="595"/>
      <c r="F1229" s="595"/>
      <c r="G1229" s="596"/>
    </row>
    <row r="1230" spans="1:7" ht="12.75">
      <c r="A1230" s="707" t="s">
        <v>1576</v>
      </c>
      <c r="B1230" s="707" t="s">
        <v>1577</v>
      </c>
      <c r="C1230" s="595"/>
      <c r="D1230" s="595"/>
      <c r="E1230" s="595"/>
      <c r="F1230" s="595"/>
      <c r="G1230" s="596"/>
    </row>
    <row r="1231" spans="1:7" ht="12.75">
      <c r="A1231" s="707" t="s">
        <v>1734</v>
      </c>
      <c r="B1231" s="707"/>
      <c r="C1231" s="595"/>
      <c r="D1231" s="595"/>
      <c r="E1231" s="595"/>
      <c r="F1231" s="595"/>
      <c r="G1231" s="596"/>
    </row>
    <row r="1232" spans="1:7" ht="38.25">
      <c r="A1232" s="171" t="s">
        <v>1008</v>
      </c>
      <c r="B1232" s="182" t="s">
        <v>1009</v>
      </c>
      <c r="C1232" s="172" t="s">
        <v>72</v>
      </c>
      <c r="D1232" s="172" t="s">
        <v>75</v>
      </c>
      <c r="E1232" s="373"/>
      <c r="F1232" s="374"/>
      <c r="G1232" s="375"/>
    </row>
    <row r="1233" spans="1:7" ht="25.5">
      <c r="A1233" s="173" t="s">
        <v>1010</v>
      </c>
      <c r="B1233" s="174" t="s">
        <v>1011</v>
      </c>
      <c r="C1233" s="175" t="s">
        <v>73</v>
      </c>
      <c r="D1233" s="175" t="s">
        <v>75</v>
      </c>
      <c r="E1233" s="434">
        <v>1</v>
      </c>
      <c r="F1233" s="435">
        <v>25.22</v>
      </c>
      <c r="G1233" s="436">
        <f>E1233*F1233</f>
        <v>25.22</v>
      </c>
    </row>
    <row r="1234" spans="1:7" ht="25.5">
      <c r="A1234" s="173" t="s">
        <v>1012</v>
      </c>
      <c r="B1234" s="174" t="s">
        <v>1013</v>
      </c>
      <c r="C1234" s="175" t="s">
        <v>73</v>
      </c>
      <c r="D1234" s="175" t="s">
        <v>75</v>
      </c>
      <c r="E1234" s="434">
        <v>0.0175</v>
      </c>
      <c r="F1234" s="435">
        <v>2.55</v>
      </c>
      <c r="G1234" s="436">
        <f>E1234*F1234</f>
        <v>0.044625</v>
      </c>
    </row>
    <row r="1235" spans="1:7" ht="25.5">
      <c r="A1235" s="173" t="s">
        <v>494</v>
      </c>
      <c r="B1235" s="174" t="s">
        <v>495</v>
      </c>
      <c r="C1235" s="175" t="s">
        <v>72</v>
      </c>
      <c r="D1235" s="175" t="s">
        <v>77</v>
      </c>
      <c r="E1235" s="434">
        <v>0.15</v>
      </c>
      <c r="F1235" s="435">
        <v>15.12</v>
      </c>
      <c r="G1235" s="436">
        <f>E1235*F1235</f>
        <v>2.268</v>
      </c>
    </row>
    <row r="1236" spans="1:7" ht="25.5">
      <c r="A1236" s="173" t="s">
        <v>437</v>
      </c>
      <c r="B1236" s="174" t="s">
        <v>438</v>
      </c>
      <c r="C1236" s="175" t="s">
        <v>72</v>
      </c>
      <c r="D1236" s="175" t="s">
        <v>77</v>
      </c>
      <c r="E1236" s="434">
        <v>0.05</v>
      </c>
      <c r="F1236" s="435">
        <v>12.64</v>
      </c>
      <c r="G1236" s="436">
        <f>E1236*F1236</f>
        <v>0.6320000000000001</v>
      </c>
    </row>
    <row r="1237" spans="1:7" ht="12.75">
      <c r="A1237" s="783" t="s">
        <v>439</v>
      </c>
      <c r="B1237" s="784"/>
      <c r="C1237" s="784"/>
      <c r="D1237" s="784"/>
      <c r="E1237" s="784"/>
      <c r="F1237" s="784"/>
      <c r="G1237" s="440">
        <f>SUM(G1235:G1236)</f>
        <v>2.9</v>
      </c>
    </row>
    <row r="1238" spans="1:7" ht="12.75">
      <c r="A1238" s="783" t="s">
        <v>440</v>
      </c>
      <c r="B1238" s="784"/>
      <c r="C1238" s="784"/>
      <c r="D1238" s="784"/>
      <c r="E1238" s="784"/>
      <c r="F1238" s="784"/>
      <c r="G1238" s="440">
        <f>SUM(G1233:G1234)</f>
        <v>25.264625</v>
      </c>
    </row>
    <row r="1239" spans="1:7" ht="12.75">
      <c r="A1239" s="783" t="s">
        <v>441</v>
      </c>
      <c r="B1239" s="784"/>
      <c r="C1239" s="784"/>
      <c r="D1239" s="784"/>
      <c r="E1239" s="784"/>
      <c r="F1239" s="784"/>
      <c r="G1239" s="440">
        <f>SUM(G1237:G1238)</f>
        <v>28.164624999999997</v>
      </c>
    </row>
    <row r="1240" spans="1:7" ht="12.75">
      <c r="A1240" s="783" t="s">
        <v>442</v>
      </c>
      <c r="B1240" s="784"/>
      <c r="C1240" s="784"/>
      <c r="D1240" s="784"/>
      <c r="E1240" s="784"/>
      <c r="F1240" s="784"/>
      <c r="G1240" s="440">
        <f>G1237*85.16%</f>
        <v>2.4696399999999996</v>
      </c>
    </row>
    <row r="1241" spans="1:7" ht="12.75">
      <c r="A1241" s="783" t="s">
        <v>443</v>
      </c>
      <c r="B1241" s="784"/>
      <c r="C1241" s="784"/>
      <c r="D1241" s="784"/>
      <c r="E1241" s="784"/>
      <c r="F1241" s="784"/>
      <c r="G1241" s="440">
        <f>G1240</f>
        <v>2.4696399999999996</v>
      </c>
    </row>
    <row r="1242" spans="1:7" ht="12.75">
      <c r="A1242" s="785" t="s">
        <v>444</v>
      </c>
      <c r="B1242" s="786"/>
      <c r="C1242" s="786"/>
      <c r="D1242" s="786"/>
      <c r="E1242" s="786"/>
      <c r="F1242" s="787"/>
      <c r="G1242" s="440">
        <f>G1238</f>
        <v>25.264625</v>
      </c>
    </row>
    <row r="1243" spans="1:7" ht="12.75">
      <c r="A1243" s="785" t="s">
        <v>445</v>
      </c>
      <c r="B1243" s="786"/>
      <c r="C1243" s="786"/>
      <c r="D1243" s="786"/>
      <c r="E1243" s="786"/>
      <c r="F1243" s="787"/>
      <c r="G1243" s="440">
        <f>G1237+G1241</f>
        <v>5.3696399999999995</v>
      </c>
    </row>
    <row r="1244" spans="1:7" ht="12.75">
      <c r="A1244" s="785" t="s">
        <v>446</v>
      </c>
      <c r="B1244" s="786"/>
      <c r="C1244" s="786"/>
      <c r="D1244" s="786"/>
      <c r="E1244" s="786"/>
      <c r="F1244" s="787"/>
      <c r="G1244" s="440">
        <f>SUM(G1242:G1243)</f>
        <v>30.634265</v>
      </c>
    </row>
    <row r="1245" spans="1:7" ht="12.75">
      <c r="A1245" s="796"/>
      <c r="B1245" s="797"/>
      <c r="C1245" s="797"/>
      <c r="D1245" s="797"/>
      <c r="E1245" s="797"/>
      <c r="F1245" s="797"/>
      <c r="G1245" s="798"/>
    </row>
    <row r="1246" spans="1:7" ht="12.75">
      <c r="A1246" s="804"/>
      <c r="B1246" s="805"/>
      <c r="C1246" s="805"/>
      <c r="D1246" s="805"/>
      <c r="E1246" s="805"/>
      <c r="F1246" s="805"/>
      <c r="G1246" s="806"/>
    </row>
    <row r="1247" spans="1:7" ht="12.75">
      <c r="A1247" s="707" t="s">
        <v>1735</v>
      </c>
      <c r="B1247" s="595"/>
      <c r="C1247" s="595"/>
      <c r="D1247" s="595"/>
      <c r="E1247" s="595"/>
      <c r="F1247" s="595"/>
      <c r="G1247" s="596"/>
    </row>
    <row r="1248" spans="1:7" ht="38.25">
      <c r="A1248" s="171" t="s">
        <v>1040</v>
      </c>
      <c r="B1248" s="182" t="s">
        <v>1041</v>
      </c>
      <c r="C1248" s="172" t="s">
        <v>72</v>
      </c>
      <c r="D1248" s="172" t="s">
        <v>75</v>
      </c>
      <c r="E1248" s="373"/>
      <c r="F1248" s="374"/>
      <c r="G1248" s="375"/>
    </row>
    <row r="1249" spans="1:7" ht="25.5">
      <c r="A1249" s="173" t="s">
        <v>1012</v>
      </c>
      <c r="B1249" s="174" t="s">
        <v>1013</v>
      </c>
      <c r="C1249" s="175" t="s">
        <v>73</v>
      </c>
      <c r="D1249" s="175" t="s">
        <v>75</v>
      </c>
      <c r="E1249" s="434">
        <v>0.05</v>
      </c>
      <c r="F1249" s="435">
        <v>2.55</v>
      </c>
      <c r="G1249" s="436">
        <f>E1249*F1249</f>
        <v>0.1275</v>
      </c>
    </row>
    <row r="1250" spans="1:7" ht="25.5">
      <c r="A1250" s="173" t="s">
        <v>1042</v>
      </c>
      <c r="B1250" s="174" t="s">
        <v>1043</v>
      </c>
      <c r="C1250" s="175" t="s">
        <v>73</v>
      </c>
      <c r="D1250" s="175" t="s">
        <v>75</v>
      </c>
      <c r="E1250" s="434">
        <v>1</v>
      </c>
      <c r="F1250" s="435">
        <v>110</v>
      </c>
      <c r="G1250" s="436">
        <f>E1250*F1250</f>
        <v>110</v>
      </c>
    </row>
    <row r="1251" spans="1:7" ht="25.5">
      <c r="A1251" s="173" t="s">
        <v>494</v>
      </c>
      <c r="B1251" s="174" t="s">
        <v>495</v>
      </c>
      <c r="C1251" s="175" t="s">
        <v>72</v>
      </c>
      <c r="D1251" s="175" t="s">
        <v>77</v>
      </c>
      <c r="E1251" s="434">
        <v>0.27</v>
      </c>
      <c r="F1251" s="435">
        <v>15.12</v>
      </c>
      <c r="G1251" s="436">
        <f>E1251*F1251</f>
        <v>4.0824</v>
      </c>
    </row>
    <row r="1252" spans="1:7" ht="25.5">
      <c r="A1252" s="173" t="s">
        <v>437</v>
      </c>
      <c r="B1252" s="174" t="s">
        <v>438</v>
      </c>
      <c r="C1252" s="175" t="s">
        <v>72</v>
      </c>
      <c r="D1252" s="175" t="s">
        <v>77</v>
      </c>
      <c r="E1252" s="434">
        <v>0.09</v>
      </c>
      <c r="F1252" s="435">
        <v>12.64</v>
      </c>
      <c r="G1252" s="436">
        <f>E1252*F1252</f>
        <v>1.1376</v>
      </c>
    </row>
    <row r="1253" spans="1:7" ht="12.75">
      <c r="A1253" s="783" t="s">
        <v>439</v>
      </c>
      <c r="B1253" s="784"/>
      <c r="C1253" s="784"/>
      <c r="D1253" s="784"/>
      <c r="E1253" s="784"/>
      <c r="F1253" s="784"/>
      <c r="G1253" s="440">
        <f>SUM(G1251:G1252)</f>
        <v>5.22</v>
      </c>
    </row>
    <row r="1254" spans="1:7" ht="12.75">
      <c r="A1254" s="783" t="s">
        <v>440</v>
      </c>
      <c r="B1254" s="784"/>
      <c r="C1254" s="784"/>
      <c r="D1254" s="784"/>
      <c r="E1254" s="784"/>
      <c r="F1254" s="784"/>
      <c r="G1254" s="440">
        <f>SUM(G1249:G1250)</f>
        <v>110.1275</v>
      </c>
    </row>
    <row r="1255" spans="1:7" ht="12.75">
      <c r="A1255" s="783" t="s">
        <v>441</v>
      </c>
      <c r="B1255" s="784"/>
      <c r="C1255" s="784"/>
      <c r="D1255" s="784"/>
      <c r="E1255" s="784"/>
      <c r="F1255" s="784"/>
      <c r="G1255" s="440">
        <f>SUM(G1253:G1254)</f>
        <v>115.3475</v>
      </c>
    </row>
    <row r="1256" spans="1:7" ht="12.75">
      <c r="A1256" s="783" t="s">
        <v>442</v>
      </c>
      <c r="B1256" s="784"/>
      <c r="C1256" s="784"/>
      <c r="D1256" s="784"/>
      <c r="E1256" s="784"/>
      <c r="F1256" s="784"/>
      <c r="G1256" s="440">
        <f>G1253*85.16%</f>
        <v>4.445352</v>
      </c>
    </row>
    <row r="1257" spans="1:7" ht="12.75">
      <c r="A1257" s="783" t="s">
        <v>443</v>
      </c>
      <c r="B1257" s="784"/>
      <c r="C1257" s="784"/>
      <c r="D1257" s="784"/>
      <c r="E1257" s="784"/>
      <c r="F1257" s="784"/>
      <c r="G1257" s="440">
        <f>G1256</f>
        <v>4.445352</v>
      </c>
    </row>
    <row r="1258" spans="1:7" ht="12.75">
      <c r="A1258" s="785" t="s">
        <v>444</v>
      </c>
      <c r="B1258" s="786"/>
      <c r="C1258" s="786"/>
      <c r="D1258" s="786"/>
      <c r="E1258" s="786"/>
      <c r="F1258" s="787"/>
      <c r="G1258" s="440">
        <f>G1254</f>
        <v>110.1275</v>
      </c>
    </row>
    <row r="1259" spans="1:7" ht="12.75">
      <c r="A1259" s="785" t="s">
        <v>445</v>
      </c>
      <c r="B1259" s="786"/>
      <c r="C1259" s="786"/>
      <c r="D1259" s="786"/>
      <c r="E1259" s="786"/>
      <c r="F1259" s="787"/>
      <c r="G1259" s="440">
        <f>G1253+G1257</f>
        <v>9.665351999999999</v>
      </c>
    </row>
    <row r="1260" spans="1:7" ht="12.75">
      <c r="A1260" s="785" t="s">
        <v>446</v>
      </c>
      <c r="B1260" s="786"/>
      <c r="C1260" s="786"/>
      <c r="D1260" s="786"/>
      <c r="E1260" s="786"/>
      <c r="F1260" s="787"/>
      <c r="G1260" s="440">
        <f>SUM(G1258:G1259)</f>
        <v>119.792852</v>
      </c>
    </row>
    <row r="1261" spans="1:7" ht="12.75">
      <c r="A1261" s="539"/>
      <c r="B1261" s="540"/>
      <c r="C1261" s="540"/>
      <c r="D1261" s="540"/>
      <c r="E1261" s="540"/>
      <c r="F1261" s="541"/>
      <c r="G1261" s="440"/>
    </row>
    <row r="1262" spans="1:7" ht="12.75">
      <c r="A1262" s="586"/>
      <c r="B1262" s="587"/>
      <c r="C1262" s="587"/>
      <c r="D1262" s="587"/>
      <c r="E1262" s="587"/>
      <c r="F1262" s="588"/>
      <c r="G1262" s="440"/>
    </row>
    <row r="1263" spans="1:7" ht="25.5">
      <c r="A1263" s="597" t="s">
        <v>1578</v>
      </c>
      <c r="B1263" s="597" t="s">
        <v>1579</v>
      </c>
      <c r="C1263" s="587"/>
      <c r="D1263" s="587"/>
      <c r="E1263" s="587"/>
      <c r="F1263" s="588"/>
      <c r="G1263" s="440"/>
    </row>
    <row r="1264" spans="1:7" ht="12.75">
      <c r="A1264" s="597" t="s">
        <v>1741</v>
      </c>
      <c r="B1264" s="597"/>
      <c r="C1264" s="587"/>
      <c r="D1264" s="587"/>
      <c r="E1264" s="587"/>
      <c r="F1264" s="588"/>
      <c r="G1264" s="440"/>
    </row>
    <row r="1265" spans="1:7" ht="45.75" customHeight="1">
      <c r="A1265" s="171" t="s">
        <v>1395</v>
      </c>
      <c r="B1265" s="545" t="s">
        <v>1383</v>
      </c>
      <c r="C1265" s="172" t="s">
        <v>72</v>
      </c>
      <c r="D1265" s="172" t="s">
        <v>75</v>
      </c>
      <c r="E1265" s="373"/>
      <c r="F1265" s="374"/>
      <c r="G1265" s="375"/>
    </row>
    <row r="1266" spans="1:7" ht="25.5">
      <c r="A1266" s="173"/>
      <c r="B1266" s="174" t="s">
        <v>1382</v>
      </c>
      <c r="C1266" s="175" t="s">
        <v>1230</v>
      </c>
      <c r="D1266" s="175" t="s">
        <v>75</v>
      </c>
      <c r="E1266" s="434">
        <v>1</v>
      </c>
      <c r="F1266" s="435">
        <f>'Mapa de Cotação'!F36</f>
        <v>29.166666666666668</v>
      </c>
      <c r="G1266" s="436">
        <f>E1266*F1266</f>
        <v>29.166666666666668</v>
      </c>
    </row>
    <row r="1267" spans="1:7" ht="25.5">
      <c r="A1267" s="173" t="s">
        <v>1384</v>
      </c>
      <c r="B1267" s="174" t="s">
        <v>1007</v>
      </c>
      <c r="C1267" s="175" t="s">
        <v>72</v>
      </c>
      <c r="D1267" s="175" t="s">
        <v>77</v>
      </c>
      <c r="E1267" s="434">
        <v>0.17</v>
      </c>
      <c r="F1267" s="435">
        <v>12.63</v>
      </c>
      <c r="G1267" s="436">
        <f>E1267*F1267</f>
        <v>2.1471000000000005</v>
      </c>
    </row>
    <row r="1268" spans="1:7" ht="25.5">
      <c r="A1268" s="173" t="s">
        <v>1240</v>
      </c>
      <c r="B1268" s="174" t="s">
        <v>495</v>
      </c>
      <c r="C1268" s="175" t="s">
        <v>72</v>
      </c>
      <c r="D1268" s="175" t="s">
        <v>77</v>
      </c>
      <c r="E1268" s="434">
        <v>0.05</v>
      </c>
      <c r="F1268" s="435">
        <v>15.12</v>
      </c>
      <c r="G1268" s="436">
        <f>E1268*F1268</f>
        <v>0.756</v>
      </c>
    </row>
    <row r="1269" spans="1:7" ht="25.5">
      <c r="A1269" s="173">
        <v>3146</v>
      </c>
      <c r="B1269" s="174" t="s">
        <v>1013</v>
      </c>
      <c r="C1269" s="175" t="s">
        <v>1230</v>
      </c>
      <c r="D1269" s="175" t="s">
        <v>75</v>
      </c>
      <c r="E1269" s="434">
        <v>0.04</v>
      </c>
      <c r="F1269" s="435">
        <v>2.55</v>
      </c>
      <c r="G1269" s="436">
        <f>E1269*F1269</f>
        <v>0.102</v>
      </c>
    </row>
    <row r="1270" spans="1:7" ht="12.75">
      <c r="A1270" s="783" t="s">
        <v>439</v>
      </c>
      <c r="B1270" s="784"/>
      <c r="C1270" s="784"/>
      <c r="D1270" s="784"/>
      <c r="E1270" s="784"/>
      <c r="F1270" s="784"/>
      <c r="G1270" s="440">
        <f>SUM(G1267:G1268)</f>
        <v>2.9031000000000002</v>
      </c>
    </row>
    <row r="1271" spans="1:7" ht="12.75">
      <c r="A1271" s="783" t="s">
        <v>440</v>
      </c>
      <c r="B1271" s="784"/>
      <c r="C1271" s="784"/>
      <c r="D1271" s="784"/>
      <c r="E1271" s="784"/>
      <c r="F1271" s="784"/>
      <c r="G1271" s="440">
        <f>SUM(G1266+G1269)</f>
        <v>29.268666666666668</v>
      </c>
    </row>
    <row r="1272" spans="1:7" ht="12.75">
      <c r="A1272" s="783" t="s">
        <v>441</v>
      </c>
      <c r="B1272" s="784"/>
      <c r="C1272" s="784"/>
      <c r="D1272" s="784"/>
      <c r="E1272" s="784"/>
      <c r="F1272" s="784"/>
      <c r="G1272" s="440">
        <f>SUM(G1270:G1271)</f>
        <v>32.17176666666667</v>
      </c>
    </row>
    <row r="1273" spans="1:7" ht="12.75">
      <c r="A1273" s="783" t="s">
        <v>442</v>
      </c>
      <c r="B1273" s="784"/>
      <c r="C1273" s="784"/>
      <c r="D1273" s="784"/>
      <c r="E1273" s="784"/>
      <c r="F1273" s="784"/>
      <c r="G1273" s="440">
        <f>G1270*85.16%</f>
        <v>2.47227996</v>
      </c>
    </row>
    <row r="1274" spans="1:7" ht="12.75">
      <c r="A1274" s="783" t="s">
        <v>443</v>
      </c>
      <c r="B1274" s="784"/>
      <c r="C1274" s="784"/>
      <c r="D1274" s="784"/>
      <c r="E1274" s="784"/>
      <c r="F1274" s="784"/>
      <c r="G1274" s="440">
        <f>G1273</f>
        <v>2.47227996</v>
      </c>
    </row>
    <row r="1275" spans="1:7" ht="12.75">
      <c r="A1275" s="785" t="s">
        <v>444</v>
      </c>
      <c r="B1275" s="786"/>
      <c r="C1275" s="786"/>
      <c r="D1275" s="786"/>
      <c r="E1275" s="786"/>
      <c r="F1275" s="787"/>
      <c r="G1275" s="440">
        <f>G1271</f>
        <v>29.268666666666668</v>
      </c>
    </row>
    <row r="1276" spans="1:7" ht="12.75">
      <c r="A1276" s="785" t="s">
        <v>445</v>
      </c>
      <c r="B1276" s="786"/>
      <c r="C1276" s="786"/>
      <c r="D1276" s="786"/>
      <c r="E1276" s="786"/>
      <c r="F1276" s="787"/>
      <c r="G1276" s="440">
        <f>G1270+G1274</f>
        <v>5.37537996</v>
      </c>
    </row>
    <row r="1277" spans="1:7" ht="12.75">
      <c r="A1277" s="785" t="s">
        <v>446</v>
      </c>
      <c r="B1277" s="786"/>
      <c r="C1277" s="786"/>
      <c r="D1277" s="786"/>
      <c r="E1277" s="786"/>
      <c r="F1277" s="787"/>
      <c r="G1277" s="440">
        <f>SUM(G1275:G1276)</f>
        <v>34.644046626666665</v>
      </c>
    </row>
    <row r="1278" spans="1:7" ht="12.75">
      <c r="A1278" s="539"/>
      <c r="B1278" s="540"/>
      <c r="C1278" s="540"/>
      <c r="D1278" s="540"/>
      <c r="E1278" s="540"/>
      <c r="F1278" s="541"/>
      <c r="G1278" s="440"/>
    </row>
    <row r="1279" spans="1:7" ht="12.75">
      <c r="A1279" s="796"/>
      <c r="B1279" s="797"/>
      <c r="C1279" s="797"/>
      <c r="D1279" s="797"/>
      <c r="E1279" s="797"/>
      <c r="F1279" s="797"/>
      <c r="G1279" s="798"/>
    </row>
    <row r="1280" spans="1:7" ht="12.75">
      <c r="A1280" s="804"/>
      <c r="B1280" s="805"/>
      <c r="C1280" s="805"/>
      <c r="D1280" s="805"/>
      <c r="E1280" s="805"/>
      <c r="F1280" s="805"/>
      <c r="G1280" s="806"/>
    </row>
    <row r="1281" spans="1:7" ht="12.75">
      <c r="A1281" s="594"/>
      <c r="B1281" s="595"/>
      <c r="C1281" s="595"/>
      <c r="D1281" s="595"/>
      <c r="E1281" s="595"/>
      <c r="F1281" s="595"/>
      <c r="G1281" s="596"/>
    </row>
    <row r="1282" spans="1:7" ht="12.75">
      <c r="A1282" s="597" t="s">
        <v>1561</v>
      </c>
      <c r="B1282" s="597" t="s">
        <v>1562</v>
      </c>
      <c r="C1282" s="595"/>
      <c r="D1282" s="595"/>
      <c r="E1282" s="595"/>
      <c r="F1282" s="595"/>
      <c r="G1282" s="596"/>
    </row>
    <row r="1283" spans="1:7" ht="12.75">
      <c r="A1283" s="597" t="s">
        <v>1719</v>
      </c>
      <c r="B1283" s="597"/>
      <c r="C1283" s="595"/>
      <c r="D1283" s="595"/>
      <c r="E1283" s="595"/>
      <c r="F1283" s="595"/>
      <c r="G1283" s="596"/>
    </row>
    <row r="1284" spans="1:7" ht="51">
      <c r="A1284" s="171" t="s">
        <v>1044</v>
      </c>
      <c r="B1284" s="182" t="s">
        <v>1045</v>
      </c>
      <c r="C1284" s="172" t="s">
        <v>72</v>
      </c>
      <c r="D1284" s="172" t="s">
        <v>75</v>
      </c>
      <c r="E1284" s="373"/>
      <c r="F1284" s="374"/>
      <c r="G1284" s="375"/>
    </row>
    <row r="1285" spans="1:7" ht="25.5">
      <c r="A1285" s="173" t="s">
        <v>1046</v>
      </c>
      <c r="B1285" s="174" t="s">
        <v>1047</v>
      </c>
      <c r="C1285" s="175" t="s">
        <v>73</v>
      </c>
      <c r="D1285" s="175" t="s">
        <v>75</v>
      </c>
      <c r="E1285" s="434">
        <v>1</v>
      </c>
      <c r="F1285" s="435">
        <v>187.94</v>
      </c>
      <c r="G1285" s="436">
        <f>E1285*F1285</f>
        <v>187.94</v>
      </c>
    </row>
    <row r="1286" spans="1:7" ht="12.75">
      <c r="A1286" s="173" t="s">
        <v>1018</v>
      </c>
      <c r="B1286" s="174" t="s">
        <v>1019</v>
      </c>
      <c r="C1286" s="175" t="s">
        <v>73</v>
      </c>
      <c r="D1286" s="175" t="s">
        <v>424</v>
      </c>
      <c r="E1286" s="434">
        <v>0.1443</v>
      </c>
      <c r="F1286" s="435">
        <v>42.53</v>
      </c>
      <c r="G1286" s="436">
        <f>E1286*F1286</f>
        <v>6.137079000000001</v>
      </c>
    </row>
    <row r="1287" spans="1:7" ht="63.75">
      <c r="A1287" s="173" t="s">
        <v>1048</v>
      </c>
      <c r="B1287" s="174" t="s">
        <v>1049</v>
      </c>
      <c r="C1287" s="175" t="s">
        <v>73</v>
      </c>
      <c r="D1287" s="175" t="s">
        <v>75</v>
      </c>
      <c r="E1287" s="434">
        <v>6</v>
      </c>
      <c r="F1287" s="435">
        <v>6.77</v>
      </c>
      <c r="G1287" s="436">
        <f>E1287*F1287</f>
        <v>40.62</v>
      </c>
    </row>
    <row r="1288" spans="1:7" ht="25.5">
      <c r="A1288" s="173" t="s">
        <v>494</v>
      </c>
      <c r="B1288" s="174" t="s">
        <v>495</v>
      </c>
      <c r="C1288" s="175" t="s">
        <v>72</v>
      </c>
      <c r="D1288" s="175" t="s">
        <v>77</v>
      </c>
      <c r="E1288" s="434">
        <v>1.47</v>
      </c>
      <c r="F1288" s="435">
        <v>15.12</v>
      </c>
      <c r="G1288" s="436">
        <f>E1288*F1288</f>
        <v>22.226399999999998</v>
      </c>
    </row>
    <row r="1289" spans="1:7" ht="25.5">
      <c r="A1289" s="173" t="s">
        <v>437</v>
      </c>
      <c r="B1289" s="174" t="s">
        <v>438</v>
      </c>
      <c r="C1289" s="175" t="s">
        <v>72</v>
      </c>
      <c r="D1289" s="175" t="s">
        <v>77</v>
      </c>
      <c r="E1289" s="434">
        <v>0.65</v>
      </c>
      <c r="F1289" s="435">
        <v>12.64</v>
      </c>
      <c r="G1289" s="436">
        <f>E1289*F1289</f>
        <v>8.216000000000001</v>
      </c>
    </row>
    <row r="1290" spans="1:7" ht="12.75">
      <c r="A1290" s="783" t="s">
        <v>439</v>
      </c>
      <c r="B1290" s="784"/>
      <c r="C1290" s="784"/>
      <c r="D1290" s="784"/>
      <c r="E1290" s="784"/>
      <c r="F1290" s="784"/>
      <c r="G1290" s="440">
        <f>SUM(G1288:G1289)</f>
        <v>30.4424</v>
      </c>
    </row>
    <row r="1291" spans="1:7" ht="12.75">
      <c r="A1291" s="783" t="s">
        <v>440</v>
      </c>
      <c r="B1291" s="784"/>
      <c r="C1291" s="784"/>
      <c r="D1291" s="784"/>
      <c r="E1291" s="784"/>
      <c r="F1291" s="784"/>
      <c r="G1291" s="440">
        <f>SUM(G1285:G1287)</f>
        <v>234.697079</v>
      </c>
    </row>
    <row r="1292" spans="1:7" ht="12.75">
      <c r="A1292" s="783" t="s">
        <v>441</v>
      </c>
      <c r="B1292" s="784"/>
      <c r="C1292" s="784"/>
      <c r="D1292" s="784"/>
      <c r="E1292" s="784"/>
      <c r="F1292" s="784"/>
      <c r="G1292" s="440">
        <f>SUM(G1290:G1291)</f>
        <v>265.139479</v>
      </c>
    </row>
    <row r="1293" spans="1:7" ht="12.75">
      <c r="A1293" s="783" t="s">
        <v>442</v>
      </c>
      <c r="B1293" s="784"/>
      <c r="C1293" s="784"/>
      <c r="D1293" s="784"/>
      <c r="E1293" s="784"/>
      <c r="F1293" s="784"/>
      <c r="G1293" s="440">
        <f>G1290*85.16%</f>
        <v>25.92474784</v>
      </c>
    </row>
    <row r="1294" spans="1:7" ht="12.75">
      <c r="A1294" s="783" t="s">
        <v>443</v>
      </c>
      <c r="B1294" s="784"/>
      <c r="C1294" s="784"/>
      <c r="D1294" s="784"/>
      <c r="E1294" s="784"/>
      <c r="F1294" s="784"/>
      <c r="G1294" s="440">
        <f>G1293</f>
        <v>25.92474784</v>
      </c>
    </row>
    <row r="1295" spans="1:7" ht="12.75">
      <c r="A1295" s="785" t="s">
        <v>444</v>
      </c>
      <c r="B1295" s="786"/>
      <c r="C1295" s="786"/>
      <c r="D1295" s="786"/>
      <c r="E1295" s="786"/>
      <c r="F1295" s="787"/>
      <c r="G1295" s="440">
        <f>G1291</f>
        <v>234.697079</v>
      </c>
    </row>
    <row r="1296" spans="1:7" ht="12.75">
      <c r="A1296" s="785" t="s">
        <v>445</v>
      </c>
      <c r="B1296" s="786"/>
      <c r="C1296" s="786"/>
      <c r="D1296" s="786"/>
      <c r="E1296" s="786"/>
      <c r="F1296" s="787"/>
      <c r="G1296" s="440">
        <f>G1290+G1294</f>
        <v>56.36714784</v>
      </c>
    </row>
    <row r="1297" spans="1:7" ht="12.75">
      <c r="A1297" s="785" t="s">
        <v>446</v>
      </c>
      <c r="B1297" s="786"/>
      <c r="C1297" s="786"/>
      <c r="D1297" s="786"/>
      <c r="E1297" s="786"/>
      <c r="F1297" s="787"/>
      <c r="G1297" s="440">
        <f>SUM(G1295:G1296)</f>
        <v>291.06422684</v>
      </c>
    </row>
    <row r="1298" spans="1:7" ht="12.75">
      <c r="A1298" s="796"/>
      <c r="B1298" s="797"/>
      <c r="C1298" s="797"/>
      <c r="D1298" s="797"/>
      <c r="E1298" s="797"/>
      <c r="F1298" s="797"/>
      <c r="G1298" s="798"/>
    </row>
    <row r="1299" spans="1:7" ht="12.75">
      <c r="A1299" s="804"/>
      <c r="B1299" s="805"/>
      <c r="C1299" s="805"/>
      <c r="D1299" s="805"/>
      <c r="E1299" s="805"/>
      <c r="F1299" s="805"/>
      <c r="G1299" s="806"/>
    </row>
    <row r="1300" spans="1:7" ht="12.75">
      <c r="A1300" s="594"/>
      <c r="B1300" s="595"/>
      <c r="C1300" s="595"/>
      <c r="D1300" s="595"/>
      <c r="E1300" s="595"/>
      <c r="F1300" s="595"/>
      <c r="G1300" s="596"/>
    </row>
    <row r="1301" spans="1:7" ht="12.75">
      <c r="A1301" s="597" t="s">
        <v>1563</v>
      </c>
      <c r="B1301" s="597" t="s">
        <v>1564</v>
      </c>
      <c r="C1301" s="595"/>
      <c r="D1301" s="595"/>
      <c r="E1301" s="595"/>
      <c r="F1301" s="595"/>
      <c r="G1301" s="596"/>
    </row>
    <row r="1302" spans="1:7" ht="12.75">
      <c r="A1302" s="597" t="s">
        <v>1721</v>
      </c>
      <c r="B1302" s="597"/>
      <c r="C1302" s="595"/>
      <c r="D1302" s="595"/>
      <c r="E1302" s="595"/>
      <c r="F1302" s="595"/>
      <c r="G1302" s="596"/>
    </row>
    <row r="1303" spans="1:7" ht="89.25">
      <c r="A1303" s="171" t="s">
        <v>813</v>
      </c>
      <c r="B1303" s="182" t="s">
        <v>814</v>
      </c>
      <c r="C1303" s="172" t="s">
        <v>72</v>
      </c>
      <c r="D1303" s="172" t="s">
        <v>75</v>
      </c>
      <c r="E1303" s="373"/>
      <c r="F1303" s="374"/>
      <c r="G1303" s="375"/>
    </row>
    <row r="1304" spans="1:7" ht="51">
      <c r="A1304" s="173" t="s">
        <v>815</v>
      </c>
      <c r="B1304" s="174" t="s">
        <v>816</v>
      </c>
      <c r="C1304" s="175" t="s">
        <v>73</v>
      </c>
      <c r="D1304" s="175" t="s">
        <v>75</v>
      </c>
      <c r="E1304" s="434">
        <v>1</v>
      </c>
      <c r="F1304" s="435">
        <v>6.05</v>
      </c>
      <c r="G1304" s="436">
        <f>E1304*F1304</f>
        <v>6.05</v>
      </c>
    </row>
    <row r="1305" spans="1:7" ht="63.75">
      <c r="A1305" s="173" t="s">
        <v>817</v>
      </c>
      <c r="B1305" s="174" t="s">
        <v>818</v>
      </c>
      <c r="C1305" s="175" t="s">
        <v>72</v>
      </c>
      <c r="D1305" s="175" t="s">
        <v>75</v>
      </c>
      <c r="E1305" s="434">
        <v>1</v>
      </c>
      <c r="F1305" s="435">
        <v>676.77</v>
      </c>
      <c r="G1305" s="436">
        <f>E1305*F1305</f>
        <v>676.77</v>
      </c>
    </row>
    <row r="1306" spans="1:7" ht="12.75">
      <c r="A1306" s="783" t="s">
        <v>439</v>
      </c>
      <c r="B1306" s="784"/>
      <c r="C1306" s="784"/>
      <c r="D1306" s="784"/>
      <c r="E1306" s="784"/>
      <c r="F1306" s="784"/>
      <c r="G1306" s="440">
        <f>0</f>
        <v>0</v>
      </c>
    </row>
    <row r="1307" spans="1:7" ht="12.75">
      <c r="A1307" s="783" t="s">
        <v>440</v>
      </c>
      <c r="B1307" s="784"/>
      <c r="C1307" s="784"/>
      <c r="D1307" s="784"/>
      <c r="E1307" s="784"/>
      <c r="F1307" s="784"/>
      <c r="G1307" s="440">
        <f>SUM(G1303:G1305)</f>
        <v>682.8199999999999</v>
      </c>
    </row>
    <row r="1308" spans="1:7" ht="12.75">
      <c r="A1308" s="783" t="s">
        <v>441</v>
      </c>
      <c r="B1308" s="784"/>
      <c r="C1308" s="784"/>
      <c r="D1308" s="784"/>
      <c r="E1308" s="784"/>
      <c r="F1308" s="784"/>
      <c r="G1308" s="440">
        <f>SUM(G1306:G1307)</f>
        <v>682.8199999999999</v>
      </c>
    </row>
    <row r="1309" spans="1:7" ht="12.75">
      <c r="A1309" s="783" t="s">
        <v>442</v>
      </c>
      <c r="B1309" s="784"/>
      <c r="C1309" s="784"/>
      <c r="D1309" s="784"/>
      <c r="E1309" s="784"/>
      <c r="F1309" s="784"/>
      <c r="G1309" s="440">
        <f>G1306*85.16%</f>
        <v>0</v>
      </c>
    </row>
    <row r="1310" spans="1:7" ht="12.75">
      <c r="A1310" s="783" t="s">
        <v>443</v>
      </c>
      <c r="B1310" s="784"/>
      <c r="C1310" s="784"/>
      <c r="D1310" s="784"/>
      <c r="E1310" s="784"/>
      <c r="F1310" s="784"/>
      <c r="G1310" s="440">
        <f>G1309</f>
        <v>0</v>
      </c>
    </row>
    <row r="1311" spans="1:7" ht="12.75">
      <c r="A1311" s="785" t="s">
        <v>444</v>
      </c>
      <c r="B1311" s="786"/>
      <c r="C1311" s="786"/>
      <c r="D1311" s="786"/>
      <c r="E1311" s="786"/>
      <c r="F1311" s="787"/>
      <c r="G1311" s="440">
        <f>G1307</f>
        <v>682.8199999999999</v>
      </c>
    </row>
    <row r="1312" spans="1:7" ht="12.75">
      <c r="A1312" s="785" t="s">
        <v>445</v>
      </c>
      <c r="B1312" s="786"/>
      <c r="C1312" s="786"/>
      <c r="D1312" s="786"/>
      <c r="E1312" s="786"/>
      <c r="F1312" s="787"/>
      <c r="G1312" s="440">
        <f>G1306+G1310</f>
        <v>0</v>
      </c>
    </row>
    <row r="1313" spans="1:7" ht="12.75">
      <c r="A1313" s="785" t="s">
        <v>446</v>
      </c>
      <c r="B1313" s="786"/>
      <c r="C1313" s="786"/>
      <c r="D1313" s="786"/>
      <c r="E1313" s="786"/>
      <c r="F1313" s="787"/>
      <c r="G1313" s="440">
        <f>SUM(G1311:G1312)</f>
        <v>682.8199999999999</v>
      </c>
    </row>
    <row r="1314" spans="1:7" ht="12.75">
      <c r="A1314" s="796"/>
      <c r="B1314" s="797"/>
      <c r="C1314" s="797"/>
      <c r="D1314" s="797"/>
      <c r="E1314" s="797"/>
      <c r="F1314" s="797"/>
      <c r="G1314" s="798"/>
    </row>
    <row r="1315" spans="1:7" ht="12.75">
      <c r="A1315" s="804"/>
      <c r="B1315" s="805"/>
      <c r="C1315" s="805"/>
      <c r="D1315" s="805"/>
      <c r="E1315" s="805"/>
      <c r="F1315" s="805"/>
      <c r="G1315" s="806"/>
    </row>
    <row r="1316" spans="1:7" ht="12.75">
      <c r="A1316" s="597" t="s">
        <v>1561</v>
      </c>
      <c r="B1316" s="597" t="s">
        <v>1562</v>
      </c>
      <c r="C1316" s="595"/>
      <c r="D1316" s="595"/>
      <c r="E1316" s="595"/>
      <c r="F1316" s="595"/>
      <c r="G1316" s="596"/>
    </row>
    <row r="1317" spans="1:7" ht="12.75">
      <c r="A1317" s="597" t="s">
        <v>1718</v>
      </c>
      <c r="B1317" s="597"/>
      <c r="C1317" s="595"/>
      <c r="D1317" s="595"/>
      <c r="E1317" s="595"/>
      <c r="F1317" s="595"/>
      <c r="G1317" s="596"/>
    </row>
    <row r="1318" spans="1:7" ht="102">
      <c r="A1318" s="171" t="s">
        <v>1050</v>
      </c>
      <c r="B1318" s="182" t="s">
        <v>1051</v>
      </c>
      <c r="C1318" s="172" t="s">
        <v>72</v>
      </c>
      <c r="D1318" s="172" t="s">
        <v>75</v>
      </c>
      <c r="E1318" s="373"/>
      <c r="F1318" s="374"/>
      <c r="G1318" s="375"/>
    </row>
    <row r="1319" spans="1:7" ht="51">
      <c r="A1319" s="173" t="s">
        <v>1052</v>
      </c>
      <c r="B1319" s="174" t="s">
        <v>1053</v>
      </c>
      <c r="C1319" s="175" t="s">
        <v>72</v>
      </c>
      <c r="D1319" s="175" t="s">
        <v>75</v>
      </c>
      <c r="E1319" s="434">
        <v>1</v>
      </c>
      <c r="F1319" s="435">
        <v>5.65</v>
      </c>
      <c r="G1319" s="436">
        <f>E1319*F1319</f>
        <v>5.65</v>
      </c>
    </row>
    <row r="1320" spans="1:7" ht="38.25">
      <c r="A1320" s="173" t="s">
        <v>1054</v>
      </c>
      <c r="B1320" s="174" t="s">
        <v>1055</v>
      </c>
      <c r="C1320" s="175" t="s">
        <v>72</v>
      </c>
      <c r="D1320" s="175" t="s">
        <v>75</v>
      </c>
      <c r="E1320" s="434">
        <v>1</v>
      </c>
      <c r="F1320" s="435">
        <v>10.67</v>
      </c>
      <c r="G1320" s="436">
        <f>E1320*F1320</f>
        <v>10.67</v>
      </c>
    </row>
    <row r="1321" spans="1:7" ht="38.25">
      <c r="A1321" s="173" t="s">
        <v>1056</v>
      </c>
      <c r="B1321" s="174" t="s">
        <v>1057</v>
      </c>
      <c r="C1321" s="175" t="s">
        <v>72</v>
      </c>
      <c r="D1321" s="175" t="s">
        <v>75</v>
      </c>
      <c r="E1321" s="434">
        <v>1</v>
      </c>
      <c r="F1321" s="435">
        <v>6.96</v>
      </c>
      <c r="G1321" s="436">
        <f>E1321*F1321</f>
        <v>6.96</v>
      </c>
    </row>
    <row r="1322" spans="1:7" ht="51">
      <c r="A1322" s="173" t="s">
        <v>1058</v>
      </c>
      <c r="B1322" s="174" t="s">
        <v>1059</v>
      </c>
      <c r="C1322" s="175" t="s">
        <v>72</v>
      </c>
      <c r="D1322" s="175" t="s">
        <v>75</v>
      </c>
      <c r="E1322" s="434">
        <v>1</v>
      </c>
      <c r="F1322" s="435">
        <v>106.87</v>
      </c>
      <c r="G1322" s="436">
        <f>E1322*F1322</f>
        <v>106.87</v>
      </c>
    </row>
    <row r="1323" spans="1:7" ht="51">
      <c r="A1323" s="173" t="s">
        <v>1060</v>
      </c>
      <c r="B1323" s="174" t="s">
        <v>1061</v>
      </c>
      <c r="C1323" s="175" t="s">
        <v>72</v>
      </c>
      <c r="D1323" s="175" t="s">
        <v>75</v>
      </c>
      <c r="E1323" s="434">
        <v>1</v>
      </c>
      <c r="F1323" s="435">
        <v>36.97</v>
      </c>
      <c r="G1323" s="436">
        <f>E1323*F1323</f>
        <v>36.97</v>
      </c>
    </row>
    <row r="1324" spans="1:7" ht="12.75">
      <c r="A1324" s="783" t="s">
        <v>439</v>
      </c>
      <c r="B1324" s="784"/>
      <c r="C1324" s="784"/>
      <c r="D1324" s="784"/>
      <c r="E1324" s="784"/>
      <c r="F1324" s="784"/>
      <c r="G1324" s="440">
        <f>0</f>
        <v>0</v>
      </c>
    </row>
    <row r="1325" spans="1:7" ht="12.75">
      <c r="A1325" s="783" t="s">
        <v>440</v>
      </c>
      <c r="B1325" s="784"/>
      <c r="C1325" s="784"/>
      <c r="D1325" s="784"/>
      <c r="E1325" s="784"/>
      <c r="F1325" s="784"/>
      <c r="G1325" s="440">
        <f>SUM(G1321:G1323)</f>
        <v>150.8</v>
      </c>
    </row>
    <row r="1326" spans="1:7" ht="12.75">
      <c r="A1326" s="783" t="s">
        <v>441</v>
      </c>
      <c r="B1326" s="784"/>
      <c r="C1326" s="784"/>
      <c r="D1326" s="784"/>
      <c r="E1326" s="784"/>
      <c r="F1326" s="784"/>
      <c r="G1326" s="440">
        <f>SUM(G1324:G1325)</f>
        <v>150.8</v>
      </c>
    </row>
    <row r="1327" spans="1:7" ht="12.75">
      <c r="A1327" s="783" t="s">
        <v>442</v>
      </c>
      <c r="B1327" s="784"/>
      <c r="C1327" s="784"/>
      <c r="D1327" s="784"/>
      <c r="E1327" s="784"/>
      <c r="F1327" s="784"/>
      <c r="G1327" s="440">
        <f>G1324*85.16%</f>
        <v>0</v>
      </c>
    </row>
    <row r="1328" spans="1:7" ht="12.75">
      <c r="A1328" s="783" t="s">
        <v>443</v>
      </c>
      <c r="B1328" s="784"/>
      <c r="C1328" s="784"/>
      <c r="D1328" s="784"/>
      <c r="E1328" s="784"/>
      <c r="F1328" s="784"/>
      <c r="G1328" s="440">
        <f>G1327</f>
        <v>0</v>
      </c>
    </row>
    <row r="1329" spans="1:7" ht="12.75">
      <c r="A1329" s="785" t="s">
        <v>444</v>
      </c>
      <c r="B1329" s="786"/>
      <c r="C1329" s="786"/>
      <c r="D1329" s="786"/>
      <c r="E1329" s="786"/>
      <c r="F1329" s="787"/>
      <c r="G1329" s="440">
        <f>G1325</f>
        <v>150.8</v>
      </c>
    </row>
    <row r="1330" spans="1:7" ht="12.75">
      <c r="A1330" s="785" t="s">
        <v>445</v>
      </c>
      <c r="B1330" s="786"/>
      <c r="C1330" s="786"/>
      <c r="D1330" s="786"/>
      <c r="E1330" s="786"/>
      <c r="F1330" s="787"/>
      <c r="G1330" s="440">
        <f>G1324+G1328</f>
        <v>0</v>
      </c>
    </row>
    <row r="1331" spans="1:7" ht="12.75">
      <c r="A1331" s="785" t="s">
        <v>446</v>
      </c>
      <c r="B1331" s="786"/>
      <c r="C1331" s="786"/>
      <c r="D1331" s="786"/>
      <c r="E1331" s="786"/>
      <c r="F1331" s="787"/>
      <c r="G1331" s="440">
        <f>SUM(G1329:G1330)</f>
        <v>150.8</v>
      </c>
    </row>
    <row r="1332" spans="1:7" ht="12.75">
      <c r="A1332" s="796"/>
      <c r="B1332" s="797"/>
      <c r="C1332" s="797"/>
      <c r="D1332" s="797"/>
      <c r="E1332" s="797"/>
      <c r="F1332" s="797"/>
      <c r="G1332" s="798"/>
    </row>
    <row r="1333" spans="1:7" ht="12.75">
      <c r="A1333" s="804"/>
      <c r="B1333" s="805"/>
      <c r="C1333" s="805"/>
      <c r="D1333" s="805"/>
      <c r="E1333" s="805"/>
      <c r="F1333" s="805"/>
      <c r="G1333" s="806"/>
    </row>
    <row r="1334" spans="1:7" ht="12.75">
      <c r="A1334" s="594"/>
      <c r="B1334" s="595"/>
      <c r="C1334" s="595"/>
      <c r="D1334" s="595"/>
      <c r="E1334" s="595"/>
      <c r="F1334" s="595"/>
      <c r="G1334" s="596"/>
    </row>
    <row r="1335" spans="1:7" ht="12.75">
      <c r="A1335" s="597" t="s">
        <v>1565</v>
      </c>
      <c r="B1335" s="597" t="s">
        <v>1375</v>
      </c>
      <c r="C1335" s="595"/>
      <c r="D1335" s="595"/>
      <c r="E1335" s="595"/>
      <c r="F1335" s="595"/>
      <c r="G1335" s="596"/>
    </row>
    <row r="1336" spans="1:7" ht="12.75">
      <c r="A1336" s="597" t="s">
        <v>1724</v>
      </c>
      <c r="B1336" s="597"/>
      <c r="C1336" s="595"/>
      <c r="D1336" s="595"/>
      <c r="E1336" s="595"/>
      <c r="F1336" s="595"/>
      <c r="G1336" s="596"/>
    </row>
    <row r="1337" spans="1:7" ht="25.5">
      <c r="A1337" s="171" t="s">
        <v>1081</v>
      </c>
      <c r="B1337" s="182" t="s">
        <v>1082</v>
      </c>
      <c r="C1337" s="172" t="s">
        <v>72</v>
      </c>
      <c r="D1337" s="172" t="s">
        <v>75</v>
      </c>
      <c r="E1337" s="373"/>
      <c r="F1337" s="374"/>
      <c r="G1337" s="375"/>
    </row>
    <row r="1338" spans="1:7" ht="63.75">
      <c r="A1338" s="173">
        <v>4350</v>
      </c>
      <c r="B1338" s="174" t="s">
        <v>1374</v>
      </c>
      <c r="C1338" s="175" t="s">
        <v>73</v>
      </c>
      <c r="D1338" s="175" t="s">
        <v>75</v>
      </c>
      <c r="E1338" s="434">
        <v>8</v>
      </c>
      <c r="F1338" s="435">
        <v>0.36</v>
      </c>
      <c r="G1338" s="436">
        <f aca="true" t="shared" si="10" ref="G1338:G1343">E1338*F1338</f>
        <v>2.88</v>
      </c>
    </row>
    <row r="1339" spans="1:7" ht="12.75">
      <c r="A1339" s="544" t="s">
        <v>1380</v>
      </c>
      <c r="B1339" s="397" t="s">
        <v>1375</v>
      </c>
      <c r="C1339" s="398" t="s">
        <v>73</v>
      </c>
      <c r="D1339" s="398" t="s">
        <v>5</v>
      </c>
      <c r="E1339" s="466">
        <v>1</v>
      </c>
      <c r="F1339" s="467">
        <f>'Mapa de Cotação'!F37</f>
        <v>1405.5166666666667</v>
      </c>
      <c r="G1339" s="494">
        <f t="shared" si="10"/>
        <v>1405.5166666666667</v>
      </c>
    </row>
    <row r="1340" spans="1:7" ht="38.25">
      <c r="A1340" s="173" t="s">
        <v>1056</v>
      </c>
      <c r="B1340" s="174" t="s">
        <v>1057</v>
      </c>
      <c r="C1340" s="175" t="s">
        <v>72</v>
      </c>
      <c r="D1340" s="175" t="s">
        <v>75</v>
      </c>
      <c r="E1340" s="434">
        <v>1</v>
      </c>
      <c r="F1340" s="435">
        <v>6.3</v>
      </c>
      <c r="G1340" s="436">
        <f t="shared" si="10"/>
        <v>6.3</v>
      </c>
    </row>
    <row r="1341" spans="1:7" ht="38.25">
      <c r="A1341" s="173" t="s">
        <v>492</v>
      </c>
      <c r="B1341" s="174" t="s">
        <v>493</v>
      </c>
      <c r="C1341" s="175" t="s">
        <v>72</v>
      </c>
      <c r="D1341" s="175" t="s">
        <v>77</v>
      </c>
      <c r="E1341" s="434">
        <v>1</v>
      </c>
      <c r="F1341" s="435">
        <v>11.72</v>
      </c>
      <c r="G1341" s="436">
        <f t="shared" si="10"/>
        <v>11.72</v>
      </c>
    </row>
    <row r="1342" spans="1:7" ht="25.5">
      <c r="A1342" s="173" t="s">
        <v>494</v>
      </c>
      <c r="B1342" s="174" t="s">
        <v>495</v>
      </c>
      <c r="C1342" s="175" t="s">
        <v>72</v>
      </c>
      <c r="D1342" s="175" t="s">
        <v>77</v>
      </c>
      <c r="E1342" s="434">
        <v>1</v>
      </c>
      <c r="F1342" s="435">
        <v>14</v>
      </c>
      <c r="G1342" s="436">
        <f t="shared" si="10"/>
        <v>14</v>
      </c>
    </row>
    <row r="1343" spans="1:7" ht="38.25">
      <c r="A1343" s="173" t="s">
        <v>885</v>
      </c>
      <c r="B1343" s="174" t="s">
        <v>886</v>
      </c>
      <c r="C1343" s="175" t="s">
        <v>72</v>
      </c>
      <c r="D1343" s="175" t="s">
        <v>75</v>
      </c>
      <c r="E1343" s="434">
        <v>8</v>
      </c>
      <c r="F1343" s="435">
        <v>2.53</v>
      </c>
      <c r="G1343" s="436">
        <f t="shared" si="10"/>
        <v>20.24</v>
      </c>
    </row>
    <row r="1344" spans="1:7" ht="12.75">
      <c r="A1344" s="783" t="s">
        <v>439</v>
      </c>
      <c r="B1344" s="784"/>
      <c r="C1344" s="784"/>
      <c r="D1344" s="784"/>
      <c r="E1344" s="784"/>
      <c r="F1344" s="784"/>
      <c r="G1344" s="440">
        <f>G1341+G1342</f>
        <v>25.72</v>
      </c>
    </row>
    <row r="1345" spans="1:7" ht="12.75">
      <c r="A1345" s="783" t="s">
        <v>440</v>
      </c>
      <c r="B1345" s="784"/>
      <c r="C1345" s="784"/>
      <c r="D1345" s="784"/>
      <c r="E1345" s="784"/>
      <c r="F1345" s="784"/>
      <c r="G1345" s="440">
        <f>SUM(G1343+G1338+G1340+G1339)</f>
        <v>1434.9366666666667</v>
      </c>
    </row>
    <row r="1346" spans="1:7" ht="12.75">
      <c r="A1346" s="783" t="s">
        <v>441</v>
      </c>
      <c r="B1346" s="784"/>
      <c r="C1346" s="784"/>
      <c r="D1346" s="784"/>
      <c r="E1346" s="784"/>
      <c r="F1346" s="784"/>
      <c r="G1346" s="440">
        <f>SUM(G1344:G1345)</f>
        <v>1460.6566666666668</v>
      </c>
    </row>
    <row r="1347" spans="1:7" ht="12.75">
      <c r="A1347" s="783" t="s">
        <v>442</v>
      </c>
      <c r="B1347" s="784"/>
      <c r="C1347" s="784"/>
      <c r="D1347" s="784"/>
      <c r="E1347" s="784"/>
      <c r="F1347" s="784"/>
      <c r="G1347" s="440">
        <f>G1344*85.16%</f>
        <v>21.903151999999995</v>
      </c>
    </row>
    <row r="1348" spans="1:7" ht="12.75">
      <c r="A1348" s="783" t="s">
        <v>443</v>
      </c>
      <c r="B1348" s="784"/>
      <c r="C1348" s="784"/>
      <c r="D1348" s="784"/>
      <c r="E1348" s="784"/>
      <c r="F1348" s="784"/>
      <c r="G1348" s="440">
        <f>G1347</f>
        <v>21.903151999999995</v>
      </c>
    </row>
    <row r="1349" spans="1:7" ht="12.75">
      <c r="A1349" s="785" t="s">
        <v>444</v>
      </c>
      <c r="B1349" s="786"/>
      <c r="C1349" s="786"/>
      <c r="D1349" s="786"/>
      <c r="E1349" s="786"/>
      <c r="F1349" s="787"/>
      <c r="G1349" s="440">
        <f>G1345</f>
        <v>1434.9366666666667</v>
      </c>
    </row>
    <row r="1350" spans="1:7" ht="12.75">
      <c r="A1350" s="785" t="s">
        <v>445</v>
      </c>
      <c r="B1350" s="786"/>
      <c r="C1350" s="786"/>
      <c r="D1350" s="786"/>
      <c r="E1350" s="786"/>
      <c r="F1350" s="787"/>
      <c r="G1350" s="440">
        <f>G1344+G1348</f>
        <v>47.62315199999999</v>
      </c>
    </row>
    <row r="1351" spans="1:7" ht="12.75">
      <c r="A1351" s="785" t="s">
        <v>446</v>
      </c>
      <c r="B1351" s="786"/>
      <c r="C1351" s="786"/>
      <c r="D1351" s="786"/>
      <c r="E1351" s="786"/>
      <c r="F1351" s="787"/>
      <c r="G1351" s="440">
        <f>SUM(G1349:G1350)</f>
        <v>1482.5598186666666</v>
      </c>
    </row>
    <row r="1352" spans="1:7" ht="12.75">
      <c r="A1352" s="796"/>
      <c r="B1352" s="797"/>
      <c r="C1352" s="797"/>
      <c r="D1352" s="797"/>
      <c r="E1352" s="797"/>
      <c r="F1352" s="797"/>
      <c r="G1352" s="798"/>
    </row>
    <row r="1353" spans="1:7" ht="12.75">
      <c r="A1353" s="491" t="s">
        <v>83</v>
      </c>
      <c r="B1353" s="799" t="s">
        <v>1276</v>
      </c>
      <c r="C1353" s="799"/>
      <c r="D1353" s="799"/>
      <c r="E1353" s="799"/>
      <c r="F1353" s="799"/>
      <c r="G1353" s="800"/>
    </row>
    <row r="1354" spans="1:7" ht="12.75">
      <c r="A1354" s="804"/>
      <c r="B1354" s="805"/>
      <c r="C1354" s="805"/>
      <c r="D1354" s="805"/>
      <c r="E1354" s="805"/>
      <c r="F1354" s="805"/>
      <c r="G1354" s="806"/>
    </row>
    <row r="1355" spans="1:7" ht="12.75">
      <c r="A1355" s="597" t="s">
        <v>1495</v>
      </c>
      <c r="B1355" s="597" t="s">
        <v>1494</v>
      </c>
      <c r="C1355" s="597"/>
      <c r="D1355" s="597"/>
      <c r="E1355" s="597"/>
      <c r="F1355" s="597"/>
      <c r="G1355" s="597"/>
    </row>
    <row r="1356" spans="1:7" ht="12.75">
      <c r="A1356" s="597" t="s">
        <v>1499</v>
      </c>
      <c r="B1356" s="597" t="s">
        <v>1500</v>
      </c>
      <c r="C1356" s="597"/>
      <c r="D1356" s="597"/>
      <c r="E1356" s="597"/>
      <c r="F1356" s="597"/>
      <c r="G1356" s="597"/>
    </row>
    <row r="1357" spans="1:7" ht="12.75">
      <c r="A1357" s="597" t="s">
        <v>1783</v>
      </c>
      <c r="B1357" s="597"/>
      <c r="C1357" s="597"/>
      <c r="D1357" s="597"/>
      <c r="E1357" s="597"/>
      <c r="F1357" s="597"/>
      <c r="G1357" s="597"/>
    </row>
    <row r="1358" spans="1:7" ht="63.75">
      <c r="A1358" s="171" t="s">
        <v>866</v>
      </c>
      <c r="B1358" s="182" t="s">
        <v>867</v>
      </c>
      <c r="C1358" s="172" t="s">
        <v>72</v>
      </c>
      <c r="D1358" s="172" t="s">
        <v>71</v>
      </c>
      <c r="E1358" s="373"/>
      <c r="F1358" s="374"/>
      <c r="G1358" s="375"/>
    </row>
    <row r="1359" spans="1:7" ht="25.5">
      <c r="A1359" s="173" t="s">
        <v>868</v>
      </c>
      <c r="B1359" s="174" t="s">
        <v>869</v>
      </c>
      <c r="C1359" s="175" t="s">
        <v>73</v>
      </c>
      <c r="D1359" s="175" t="s">
        <v>71</v>
      </c>
      <c r="E1359" s="434">
        <v>1.017</v>
      </c>
      <c r="F1359" s="435">
        <v>3</v>
      </c>
      <c r="G1359" s="436">
        <f>E1359*F1359</f>
        <v>3.0509999999999997</v>
      </c>
    </row>
    <row r="1360" spans="1:7" ht="25.5">
      <c r="A1360" s="173" t="s">
        <v>457</v>
      </c>
      <c r="B1360" s="174" t="s">
        <v>458</v>
      </c>
      <c r="C1360" s="175" t="s">
        <v>72</v>
      </c>
      <c r="D1360" s="175" t="s">
        <v>77</v>
      </c>
      <c r="E1360" s="434">
        <v>0.17</v>
      </c>
      <c r="F1360" s="435">
        <v>12.97</v>
      </c>
      <c r="G1360" s="436">
        <f>E1360*F1360</f>
        <v>2.2049000000000003</v>
      </c>
    </row>
    <row r="1361" spans="1:7" ht="25.5">
      <c r="A1361" s="173" t="s">
        <v>459</v>
      </c>
      <c r="B1361" s="174" t="s">
        <v>460</v>
      </c>
      <c r="C1361" s="175" t="s">
        <v>72</v>
      </c>
      <c r="D1361" s="175" t="s">
        <v>77</v>
      </c>
      <c r="E1361" s="434">
        <v>0.17</v>
      </c>
      <c r="F1361" s="435">
        <v>15.26</v>
      </c>
      <c r="G1361" s="436">
        <f>E1361*F1361</f>
        <v>2.5942000000000003</v>
      </c>
    </row>
    <row r="1362" spans="1:7" ht="12.75">
      <c r="A1362" s="783" t="s">
        <v>439</v>
      </c>
      <c r="B1362" s="784"/>
      <c r="C1362" s="784"/>
      <c r="D1362" s="784"/>
      <c r="E1362" s="784"/>
      <c r="F1362" s="784"/>
      <c r="G1362" s="440">
        <f>SUM(G1360:G1361)</f>
        <v>4.799100000000001</v>
      </c>
    </row>
    <row r="1363" spans="1:7" ht="12.75">
      <c r="A1363" s="783" t="s">
        <v>440</v>
      </c>
      <c r="B1363" s="784"/>
      <c r="C1363" s="784"/>
      <c r="D1363" s="784"/>
      <c r="E1363" s="784"/>
      <c r="F1363" s="784"/>
      <c r="G1363" s="440">
        <f>SUM(G1359)</f>
        <v>3.0509999999999997</v>
      </c>
    </row>
    <row r="1364" spans="1:7" ht="12.75">
      <c r="A1364" s="783" t="s">
        <v>441</v>
      </c>
      <c r="B1364" s="784"/>
      <c r="C1364" s="784"/>
      <c r="D1364" s="784"/>
      <c r="E1364" s="784"/>
      <c r="F1364" s="784"/>
      <c r="G1364" s="440">
        <f>SUM(G1362:G1363)</f>
        <v>7.850100000000001</v>
      </c>
    </row>
    <row r="1365" spans="1:7" ht="12.75">
      <c r="A1365" s="783" t="s">
        <v>442</v>
      </c>
      <c r="B1365" s="784"/>
      <c r="C1365" s="784"/>
      <c r="D1365" s="784"/>
      <c r="E1365" s="784"/>
      <c r="F1365" s="784"/>
      <c r="G1365" s="440">
        <f>G1362*85.16%</f>
        <v>4.08691356</v>
      </c>
    </row>
    <row r="1366" spans="1:7" ht="12.75">
      <c r="A1366" s="783" t="s">
        <v>443</v>
      </c>
      <c r="B1366" s="784"/>
      <c r="C1366" s="784"/>
      <c r="D1366" s="784"/>
      <c r="E1366" s="784"/>
      <c r="F1366" s="784"/>
      <c r="G1366" s="440">
        <f>G1365</f>
        <v>4.08691356</v>
      </c>
    </row>
    <row r="1367" spans="1:7" ht="12.75">
      <c r="A1367" s="785" t="s">
        <v>444</v>
      </c>
      <c r="B1367" s="786"/>
      <c r="C1367" s="786"/>
      <c r="D1367" s="786"/>
      <c r="E1367" s="786"/>
      <c r="F1367" s="787"/>
      <c r="G1367" s="440">
        <f>G1363</f>
        <v>3.0509999999999997</v>
      </c>
    </row>
    <row r="1368" spans="1:7" ht="12.75">
      <c r="A1368" s="785" t="s">
        <v>445</v>
      </c>
      <c r="B1368" s="786"/>
      <c r="C1368" s="786"/>
      <c r="D1368" s="786"/>
      <c r="E1368" s="786"/>
      <c r="F1368" s="787"/>
      <c r="G1368" s="440">
        <f>G1362+G1366</f>
        <v>8.886013560000002</v>
      </c>
    </row>
    <row r="1369" spans="1:7" ht="12.75">
      <c r="A1369" s="785" t="s">
        <v>446</v>
      </c>
      <c r="B1369" s="786"/>
      <c r="C1369" s="786"/>
      <c r="D1369" s="786"/>
      <c r="E1369" s="786"/>
      <c r="F1369" s="787"/>
      <c r="G1369" s="440">
        <f>SUM(G1367:G1368)</f>
        <v>11.937013560000002</v>
      </c>
    </row>
    <row r="1370" spans="1:7" ht="12.75">
      <c r="A1370" s="796"/>
      <c r="B1370" s="797"/>
      <c r="C1370" s="797"/>
      <c r="D1370" s="797"/>
      <c r="E1370" s="797"/>
      <c r="F1370" s="797"/>
      <c r="G1370" s="798"/>
    </row>
    <row r="1371" spans="1:7" ht="12.75">
      <c r="A1371" s="804"/>
      <c r="B1371" s="805"/>
      <c r="C1371" s="805"/>
      <c r="D1371" s="805"/>
      <c r="E1371" s="805"/>
      <c r="F1371" s="805"/>
      <c r="G1371" s="806"/>
    </row>
    <row r="1372" spans="1:7" ht="12.75">
      <c r="A1372" s="597" t="s">
        <v>1784</v>
      </c>
      <c r="B1372" s="595"/>
      <c r="C1372" s="595"/>
      <c r="D1372" s="595"/>
      <c r="E1372" s="595"/>
      <c r="F1372" s="595"/>
      <c r="G1372" s="596"/>
    </row>
    <row r="1373" spans="1:7" ht="63.75">
      <c r="A1373" s="171" t="s">
        <v>870</v>
      </c>
      <c r="B1373" s="182" t="s">
        <v>871</v>
      </c>
      <c r="C1373" s="172" t="s">
        <v>72</v>
      </c>
      <c r="D1373" s="172" t="s">
        <v>71</v>
      </c>
      <c r="E1373" s="373"/>
      <c r="F1373" s="374"/>
      <c r="G1373" s="375"/>
    </row>
    <row r="1374" spans="1:7" ht="25.5">
      <c r="A1374" s="173" t="s">
        <v>872</v>
      </c>
      <c r="B1374" s="174" t="s">
        <v>873</v>
      </c>
      <c r="C1374" s="175" t="s">
        <v>73</v>
      </c>
      <c r="D1374" s="175" t="s">
        <v>71</v>
      </c>
      <c r="E1374" s="434">
        <v>1.017</v>
      </c>
      <c r="F1374" s="435">
        <v>4.69</v>
      </c>
      <c r="G1374" s="436">
        <f>E1374*F1374</f>
        <v>4.76973</v>
      </c>
    </row>
    <row r="1375" spans="1:7" ht="25.5">
      <c r="A1375" s="173" t="s">
        <v>457</v>
      </c>
      <c r="B1375" s="174" t="s">
        <v>458</v>
      </c>
      <c r="C1375" s="175" t="s">
        <v>72</v>
      </c>
      <c r="D1375" s="175" t="s">
        <v>77</v>
      </c>
      <c r="E1375" s="434">
        <v>0.194</v>
      </c>
      <c r="F1375" s="435">
        <v>12.97</v>
      </c>
      <c r="G1375" s="436">
        <f>E1375*F1375</f>
        <v>2.5161800000000003</v>
      </c>
    </row>
    <row r="1376" spans="1:7" ht="25.5">
      <c r="A1376" s="173" t="s">
        <v>459</v>
      </c>
      <c r="B1376" s="174" t="s">
        <v>460</v>
      </c>
      <c r="C1376" s="175" t="s">
        <v>72</v>
      </c>
      <c r="D1376" s="175" t="s">
        <v>77</v>
      </c>
      <c r="E1376" s="434">
        <v>0.194</v>
      </c>
      <c r="F1376" s="435">
        <v>15.26</v>
      </c>
      <c r="G1376" s="436">
        <f>E1376*F1376</f>
        <v>2.96044</v>
      </c>
    </row>
    <row r="1377" spans="1:7" ht="12.75">
      <c r="A1377" s="783" t="s">
        <v>439</v>
      </c>
      <c r="B1377" s="784"/>
      <c r="C1377" s="784"/>
      <c r="D1377" s="784"/>
      <c r="E1377" s="784"/>
      <c r="F1377" s="784"/>
      <c r="G1377" s="440">
        <f>SUM(G1375:G1376)</f>
        <v>5.4766200000000005</v>
      </c>
    </row>
    <row r="1378" spans="1:7" ht="12.75">
      <c r="A1378" s="783" t="s">
        <v>440</v>
      </c>
      <c r="B1378" s="784"/>
      <c r="C1378" s="784"/>
      <c r="D1378" s="784"/>
      <c r="E1378" s="784"/>
      <c r="F1378" s="784"/>
      <c r="G1378" s="440">
        <f>SUM(G1374)</f>
        <v>4.76973</v>
      </c>
    </row>
    <row r="1379" spans="1:7" ht="12.75">
      <c r="A1379" s="783" t="s">
        <v>441</v>
      </c>
      <c r="B1379" s="784"/>
      <c r="C1379" s="784"/>
      <c r="D1379" s="784"/>
      <c r="E1379" s="784"/>
      <c r="F1379" s="784"/>
      <c r="G1379" s="440">
        <f>SUM(G1377:G1378)</f>
        <v>10.24635</v>
      </c>
    </row>
    <row r="1380" spans="1:7" ht="12.75">
      <c r="A1380" s="783" t="s">
        <v>442</v>
      </c>
      <c r="B1380" s="784"/>
      <c r="C1380" s="784"/>
      <c r="D1380" s="784"/>
      <c r="E1380" s="784"/>
      <c r="F1380" s="784"/>
      <c r="G1380" s="440">
        <f>G1377*85.16%</f>
        <v>4.663889592</v>
      </c>
    </row>
    <row r="1381" spans="1:7" ht="12.75">
      <c r="A1381" s="783" t="s">
        <v>443</v>
      </c>
      <c r="B1381" s="784"/>
      <c r="C1381" s="784"/>
      <c r="D1381" s="784"/>
      <c r="E1381" s="784"/>
      <c r="F1381" s="784"/>
      <c r="G1381" s="440">
        <f>G1380</f>
        <v>4.663889592</v>
      </c>
    </row>
    <row r="1382" spans="1:7" ht="12.75">
      <c r="A1382" s="785" t="s">
        <v>444</v>
      </c>
      <c r="B1382" s="786"/>
      <c r="C1382" s="786"/>
      <c r="D1382" s="786"/>
      <c r="E1382" s="786"/>
      <c r="F1382" s="787"/>
      <c r="G1382" s="440">
        <f>G1378</f>
        <v>4.76973</v>
      </c>
    </row>
    <row r="1383" spans="1:7" ht="12.75">
      <c r="A1383" s="785" t="s">
        <v>445</v>
      </c>
      <c r="B1383" s="786"/>
      <c r="C1383" s="786"/>
      <c r="D1383" s="786"/>
      <c r="E1383" s="786"/>
      <c r="F1383" s="787"/>
      <c r="G1383" s="440">
        <f>G1377+G1381</f>
        <v>10.140509592</v>
      </c>
    </row>
    <row r="1384" spans="1:7" ht="12.75">
      <c r="A1384" s="785" t="s">
        <v>446</v>
      </c>
      <c r="B1384" s="786"/>
      <c r="C1384" s="786"/>
      <c r="D1384" s="786"/>
      <c r="E1384" s="786"/>
      <c r="F1384" s="787"/>
      <c r="G1384" s="440">
        <f>SUM(G1382:G1383)</f>
        <v>14.910239592</v>
      </c>
    </row>
    <row r="1385" spans="1:7" ht="12.75">
      <c r="A1385" s="169"/>
      <c r="B1385" s="828"/>
      <c r="C1385" s="828"/>
      <c r="D1385" s="828"/>
      <c r="E1385" s="828"/>
      <c r="F1385" s="828"/>
      <c r="G1385" s="829"/>
    </row>
    <row r="1386" spans="1:7" ht="12.75">
      <c r="A1386" s="804"/>
      <c r="B1386" s="805"/>
      <c r="C1386" s="805"/>
      <c r="D1386" s="805"/>
      <c r="E1386" s="805"/>
      <c r="F1386" s="805"/>
      <c r="G1386" s="806"/>
    </row>
    <row r="1387" spans="1:7" ht="12.75">
      <c r="A1387" s="597" t="s">
        <v>1507</v>
      </c>
      <c r="B1387" s="597" t="s">
        <v>1508</v>
      </c>
      <c r="C1387" s="597"/>
      <c r="D1387" s="595"/>
      <c r="E1387" s="595"/>
      <c r="F1387" s="595"/>
      <c r="G1387" s="596"/>
    </row>
    <row r="1388" spans="1:7" ht="12.75">
      <c r="A1388" s="597" t="s">
        <v>1509</v>
      </c>
      <c r="B1388" s="597" t="s">
        <v>1510</v>
      </c>
      <c r="C1388" s="597"/>
      <c r="D1388" s="595"/>
      <c r="E1388" s="595"/>
      <c r="F1388" s="595"/>
      <c r="G1388" s="596"/>
    </row>
    <row r="1389" spans="1:7" ht="12.75">
      <c r="A1389" s="597" t="s">
        <v>1801</v>
      </c>
      <c r="B1389" s="597"/>
      <c r="C1389" s="597"/>
      <c r="D1389" s="595"/>
      <c r="E1389" s="595"/>
      <c r="F1389" s="595"/>
      <c r="G1389" s="596"/>
    </row>
    <row r="1390" spans="1:7" ht="63.75">
      <c r="A1390" s="171" t="s">
        <v>819</v>
      </c>
      <c r="B1390" s="182" t="s">
        <v>820</v>
      </c>
      <c r="C1390" s="172" t="s">
        <v>72</v>
      </c>
      <c r="D1390" s="172" t="s">
        <v>75</v>
      </c>
      <c r="E1390" s="373"/>
      <c r="F1390" s="374"/>
      <c r="G1390" s="375"/>
    </row>
    <row r="1391" spans="1:7" ht="38.25">
      <c r="A1391" s="173" t="s">
        <v>821</v>
      </c>
      <c r="B1391" s="174" t="s">
        <v>822</v>
      </c>
      <c r="C1391" s="175" t="s">
        <v>73</v>
      </c>
      <c r="D1391" s="175" t="s">
        <v>75</v>
      </c>
      <c r="E1391" s="434">
        <v>1</v>
      </c>
      <c r="F1391" s="435">
        <v>1.98</v>
      </c>
      <c r="G1391" s="436">
        <f>E1391*F1391</f>
        <v>1.98</v>
      </c>
    </row>
    <row r="1392" spans="1:7" ht="25.5">
      <c r="A1392" s="173" t="s">
        <v>457</v>
      </c>
      <c r="B1392" s="174" t="s">
        <v>458</v>
      </c>
      <c r="C1392" s="175" t="s">
        <v>72</v>
      </c>
      <c r="D1392" s="175" t="s">
        <v>77</v>
      </c>
      <c r="E1392" s="434">
        <v>0.05</v>
      </c>
      <c r="F1392" s="435">
        <v>12.97</v>
      </c>
      <c r="G1392" s="436">
        <f>E1392*F1392</f>
        <v>0.6485000000000001</v>
      </c>
    </row>
    <row r="1393" spans="1:7" ht="25.5">
      <c r="A1393" s="173" t="s">
        <v>459</v>
      </c>
      <c r="B1393" s="174" t="s">
        <v>460</v>
      </c>
      <c r="C1393" s="175" t="s">
        <v>72</v>
      </c>
      <c r="D1393" s="175" t="s">
        <v>77</v>
      </c>
      <c r="E1393" s="434">
        <v>0.05</v>
      </c>
      <c r="F1393" s="435">
        <v>15.26</v>
      </c>
      <c r="G1393" s="436">
        <f>E1393*F1393</f>
        <v>0.763</v>
      </c>
    </row>
    <row r="1394" spans="1:7" ht="12.75">
      <c r="A1394" s="783" t="s">
        <v>439</v>
      </c>
      <c r="B1394" s="784"/>
      <c r="C1394" s="784"/>
      <c r="D1394" s="784"/>
      <c r="E1394" s="784"/>
      <c r="F1394" s="784"/>
      <c r="G1394" s="440">
        <f>SUM(G1392:G1393)</f>
        <v>1.4115000000000002</v>
      </c>
    </row>
    <row r="1395" spans="1:7" ht="12.75">
      <c r="A1395" s="783" t="s">
        <v>440</v>
      </c>
      <c r="B1395" s="784"/>
      <c r="C1395" s="784"/>
      <c r="D1395" s="784"/>
      <c r="E1395" s="784"/>
      <c r="F1395" s="784"/>
      <c r="G1395" s="440">
        <f>SUM(G1391)</f>
        <v>1.98</v>
      </c>
    </row>
    <row r="1396" spans="1:7" ht="12.75">
      <c r="A1396" s="783" t="s">
        <v>441</v>
      </c>
      <c r="B1396" s="784"/>
      <c r="C1396" s="784"/>
      <c r="D1396" s="784"/>
      <c r="E1396" s="784"/>
      <c r="F1396" s="784"/>
      <c r="G1396" s="440">
        <f>SUM(G1394:G1395)</f>
        <v>3.3915</v>
      </c>
    </row>
    <row r="1397" spans="1:7" ht="12.75">
      <c r="A1397" s="783" t="s">
        <v>442</v>
      </c>
      <c r="B1397" s="784"/>
      <c r="C1397" s="784"/>
      <c r="D1397" s="784"/>
      <c r="E1397" s="784"/>
      <c r="F1397" s="784"/>
      <c r="G1397" s="440">
        <f>G1394*85.16%</f>
        <v>1.2020334000000001</v>
      </c>
    </row>
    <row r="1398" spans="1:7" ht="12.75">
      <c r="A1398" s="783" t="s">
        <v>443</v>
      </c>
      <c r="B1398" s="784"/>
      <c r="C1398" s="784"/>
      <c r="D1398" s="784"/>
      <c r="E1398" s="784"/>
      <c r="F1398" s="784"/>
      <c r="G1398" s="440">
        <f>G1397</f>
        <v>1.2020334000000001</v>
      </c>
    </row>
    <row r="1399" spans="1:7" ht="12.75">
      <c r="A1399" s="785" t="s">
        <v>444</v>
      </c>
      <c r="B1399" s="786"/>
      <c r="C1399" s="786"/>
      <c r="D1399" s="786"/>
      <c r="E1399" s="786"/>
      <c r="F1399" s="787"/>
      <c r="G1399" s="440">
        <f>G1395</f>
        <v>1.98</v>
      </c>
    </row>
    <row r="1400" spans="1:7" ht="12.75">
      <c r="A1400" s="785" t="s">
        <v>445</v>
      </c>
      <c r="B1400" s="786"/>
      <c r="C1400" s="786"/>
      <c r="D1400" s="786"/>
      <c r="E1400" s="786"/>
      <c r="F1400" s="787"/>
      <c r="G1400" s="440">
        <f>G1394+G1398</f>
        <v>2.6135334000000006</v>
      </c>
    </row>
    <row r="1401" spans="1:7" ht="12.75">
      <c r="A1401" s="785" t="s">
        <v>446</v>
      </c>
      <c r="B1401" s="786"/>
      <c r="C1401" s="786"/>
      <c r="D1401" s="786"/>
      <c r="E1401" s="786"/>
      <c r="F1401" s="787"/>
      <c r="G1401" s="440">
        <f>SUM(G1399:G1400)</f>
        <v>4.5935334</v>
      </c>
    </row>
    <row r="1402" spans="1:7" ht="12.75">
      <c r="A1402" s="796"/>
      <c r="B1402" s="797"/>
      <c r="C1402" s="797"/>
      <c r="D1402" s="797"/>
      <c r="E1402" s="797"/>
      <c r="F1402" s="797"/>
      <c r="G1402" s="798"/>
    </row>
    <row r="1403" spans="1:7" ht="12.75">
      <c r="A1403" s="491" t="s">
        <v>83</v>
      </c>
      <c r="B1403" s="799" t="s">
        <v>1277</v>
      </c>
      <c r="C1403" s="799"/>
      <c r="D1403" s="799"/>
      <c r="E1403" s="799"/>
      <c r="F1403" s="799"/>
      <c r="G1403" s="800"/>
    </row>
    <row r="1404" spans="1:7" ht="5.25" customHeight="1">
      <c r="A1404" s="804"/>
      <c r="B1404" s="805"/>
      <c r="C1404" s="805"/>
      <c r="D1404" s="805"/>
      <c r="E1404" s="805"/>
      <c r="F1404" s="805"/>
      <c r="G1404" s="806"/>
    </row>
    <row r="1405" spans="1:7" ht="12.75">
      <c r="A1405" s="597" t="s">
        <v>1802</v>
      </c>
      <c r="B1405" s="595"/>
      <c r="C1405" s="595"/>
      <c r="D1405" s="595"/>
      <c r="E1405" s="595"/>
      <c r="F1405" s="595"/>
      <c r="G1405" s="596"/>
    </row>
    <row r="1406" spans="1:7" ht="51">
      <c r="A1406" s="171" t="s">
        <v>823</v>
      </c>
      <c r="B1406" s="182" t="s">
        <v>824</v>
      </c>
      <c r="C1406" s="172" t="s">
        <v>72</v>
      </c>
      <c r="D1406" s="172" t="s">
        <v>75</v>
      </c>
      <c r="E1406" s="373"/>
      <c r="F1406" s="374"/>
      <c r="G1406" s="375"/>
    </row>
    <row r="1407" spans="1:7" ht="38.25">
      <c r="A1407" s="173" t="s">
        <v>821</v>
      </c>
      <c r="B1407" s="174" t="s">
        <v>822</v>
      </c>
      <c r="C1407" s="175" t="s">
        <v>73</v>
      </c>
      <c r="D1407" s="175" t="s">
        <v>75</v>
      </c>
      <c r="E1407" s="434">
        <v>1</v>
      </c>
      <c r="F1407" s="435">
        <v>1.98</v>
      </c>
      <c r="G1407" s="436">
        <f>E1407*F1407</f>
        <v>1.98</v>
      </c>
    </row>
    <row r="1408" spans="1:7" ht="25.5">
      <c r="A1408" s="173" t="s">
        <v>457</v>
      </c>
      <c r="B1408" s="174" t="s">
        <v>458</v>
      </c>
      <c r="C1408" s="175" t="s">
        <v>72</v>
      </c>
      <c r="D1408" s="175" t="s">
        <v>77</v>
      </c>
      <c r="E1408" s="434">
        <v>0.05</v>
      </c>
      <c r="F1408" s="435">
        <v>12.97</v>
      </c>
      <c r="G1408" s="436">
        <f>E1408*F1408</f>
        <v>0.6485000000000001</v>
      </c>
    </row>
    <row r="1409" spans="1:7" ht="25.5">
      <c r="A1409" s="173" t="s">
        <v>459</v>
      </c>
      <c r="B1409" s="174" t="s">
        <v>460</v>
      </c>
      <c r="C1409" s="175" t="s">
        <v>72</v>
      </c>
      <c r="D1409" s="175" t="s">
        <v>77</v>
      </c>
      <c r="E1409" s="434">
        <v>0.05</v>
      </c>
      <c r="F1409" s="435">
        <v>15.26</v>
      </c>
      <c r="G1409" s="436">
        <f>E1409*F1409</f>
        <v>0.763</v>
      </c>
    </row>
    <row r="1410" spans="1:7" ht="12.75">
      <c r="A1410" s="783" t="s">
        <v>439</v>
      </c>
      <c r="B1410" s="784"/>
      <c r="C1410" s="784"/>
      <c r="D1410" s="784"/>
      <c r="E1410" s="784"/>
      <c r="F1410" s="784"/>
      <c r="G1410" s="440">
        <f>SUM(G1408:G1409)</f>
        <v>1.4115000000000002</v>
      </c>
    </row>
    <row r="1411" spans="1:7" ht="12.75">
      <c r="A1411" s="783" t="s">
        <v>440</v>
      </c>
      <c r="B1411" s="784"/>
      <c r="C1411" s="784"/>
      <c r="D1411" s="784"/>
      <c r="E1411" s="784"/>
      <c r="F1411" s="784"/>
      <c r="G1411" s="440">
        <f>SUM(G1407)</f>
        <v>1.98</v>
      </c>
    </row>
    <row r="1412" spans="1:7" ht="12.75">
      <c r="A1412" s="783" t="s">
        <v>441</v>
      </c>
      <c r="B1412" s="784"/>
      <c r="C1412" s="784"/>
      <c r="D1412" s="784"/>
      <c r="E1412" s="784"/>
      <c r="F1412" s="784"/>
      <c r="G1412" s="440">
        <f>SUM(G1410:G1411)</f>
        <v>3.3915</v>
      </c>
    </row>
    <row r="1413" spans="1:7" ht="12.75">
      <c r="A1413" s="783" t="s">
        <v>442</v>
      </c>
      <c r="B1413" s="784"/>
      <c r="C1413" s="784"/>
      <c r="D1413" s="784"/>
      <c r="E1413" s="784"/>
      <c r="F1413" s="784"/>
      <c r="G1413" s="440">
        <f>G1410*85.16%</f>
        <v>1.2020334000000001</v>
      </c>
    </row>
    <row r="1414" spans="1:7" ht="12.75">
      <c r="A1414" s="783" t="s">
        <v>443</v>
      </c>
      <c r="B1414" s="784"/>
      <c r="C1414" s="784"/>
      <c r="D1414" s="784"/>
      <c r="E1414" s="784"/>
      <c r="F1414" s="784"/>
      <c r="G1414" s="440">
        <f>G1413</f>
        <v>1.2020334000000001</v>
      </c>
    </row>
    <row r="1415" spans="1:7" ht="12.75">
      <c r="A1415" s="785" t="s">
        <v>444</v>
      </c>
      <c r="B1415" s="786"/>
      <c r="C1415" s="786"/>
      <c r="D1415" s="786"/>
      <c r="E1415" s="786"/>
      <c r="F1415" s="787"/>
      <c r="G1415" s="440">
        <f>G1411</f>
        <v>1.98</v>
      </c>
    </row>
    <row r="1416" spans="1:7" ht="12.75">
      <c r="A1416" s="785" t="s">
        <v>445</v>
      </c>
      <c r="B1416" s="786"/>
      <c r="C1416" s="786"/>
      <c r="D1416" s="786"/>
      <c r="E1416" s="786"/>
      <c r="F1416" s="787"/>
      <c r="G1416" s="440">
        <f>G1410+G1414</f>
        <v>2.6135334000000006</v>
      </c>
    </row>
    <row r="1417" spans="1:7" ht="12.75">
      <c r="A1417" s="785" t="s">
        <v>446</v>
      </c>
      <c r="B1417" s="786"/>
      <c r="C1417" s="786"/>
      <c r="D1417" s="786"/>
      <c r="E1417" s="786"/>
      <c r="F1417" s="787"/>
      <c r="G1417" s="440">
        <f>SUM(G1415:G1416)</f>
        <v>4.5935334</v>
      </c>
    </row>
    <row r="1418" spans="1:7" ht="12.75">
      <c r="A1418" s="796"/>
      <c r="B1418" s="797"/>
      <c r="C1418" s="797"/>
      <c r="D1418" s="797"/>
      <c r="E1418" s="797"/>
      <c r="F1418" s="797"/>
      <c r="G1418" s="798"/>
    </row>
    <row r="1419" spans="1:7" ht="12.75">
      <c r="A1419" s="491" t="s">
        <v>83</v>
      </c>
      <c r="B1419" s="799" t="s">
        <v>1277</v>
      </c>
      <c r="C1419" s="799"/>
      <c r="D1419" s="799"/>
      <c r="E1419" s="799"/>
      <c r="F1419" s="799"/>
      <c r="G1419" s="800"/>
    </row>
    <row r="1420" spans="1:7" ht="12.75">
      <c r="A1420" s="804"/>
      <c r="B1420" s="805"/>
      <c r="C1420" s="805"/>
      <c r="D1420" s="805"/>
      <c r="E1420" s="805"/>
      <c r="F1420" s="805"/>
      <c r="G1420" s="806"/>
    </row>
    <row r="1421" spans="1:7" ht="12.75">
      <c r="A1421" s="597" t="s">
        <v>1803</v>
      </c>
      <c r="B1421" s="595"/>
      <c r="C1421" s="595"/>
      <c r="D1421" s="595"/>
      <c r="E1421" s="595"/>
      <c r="F1421" s="595"/>
      <c r="G1421" s="596"/>
    </row>
    <row r="1422" spans="1:7" ht="51">
      <c r="A1422" s="171" t="s">
        <v>825</v>
      </c>
      <c r="B1422" s="182" t="s">
        <v>826</v>
      </c>
      <c r="C1422" s="172" t="s">
        <v>72</v>
      </c>
      <c r="D1422" s="172" t="s">
        <v>75</v>
      </c>
      <c r="E1422" s="373"/>
      <c r="F1422" s="374"/>
      <c r="G1422" s="375"/>
    </row>
    <row r="1423" spans="1:7" ht="38.25">
      <c r="A1423" s="173" t="s">
        <v>821</v>
      </c>
      <c r="B1423" s="174" t="s">
        <v>822</v>
      </c>
      <c r="C1423" s="175" t="s">
        <v>73</v>
      </c>
      <c r="D1423" s="175" t="s">
        <v>75</v>
      </c>
      <c r="E1423" s="434">
        <v>1</v>
      </c>
      <c r="F1423" s="435">
        <v>1.98</v>
      </c>
      <c r="G1423" s="436">
        <f>E1423*F1423</f>
        <v>1.98</v>
      </c>
    </row>
    <row r="1424" spans="1:7" ht="25.5">
      <c r="A1424" s="173" t="s">
        <v>457</v>
      </c>
      <c r="B1424" s="174" t="s">
        <v>458</v>
      </c>
      <c r="C1424" s="175" t="s">
        <v>72</v>
      </c>
      <c r="D1424" s="175" t="s">
        <v>77</v>
      </c>
      <c r="E1424" s="434">
        <v>0.05</v>
      </c>
      <c r="F1424" s="435">
        <v>12.97</v>
      </c>
      <c r="G1424" s="436">
        <f>E1424*F1424</f>
        <v>0.6485000000000001</v>
      </c>
    </row>
    <row r="1425" spans="1:7" ht="25.5">
      <c r="A1425" s="173" t="s">
        <v>459</v>
      </c>
      <c r="B1425" s="174" t="s">
        <v>460</v>
      </c>
      <c r="C1425" s="175" t="s">
        <v>72</v>
      </c>
      <c r="D1425" s="175" t="s">
        <v>77</v>
      </c>
      <c r="E1425" s="434">
        <v>0.05</v>
      </c>
      <c r="F1425" s="435">
        <v>15.26</v>
      </c>
      <c r="G1425" s="436">
        <f>E1425*F1425</f>
        <v>0.763</v>
      </c>
    </row>
    <row r="1426" spans="1:7" ht="12.75">
      <c r="A1426" s="783" t="s">
        <v>439</v>
      </c>
      <c r="B1426" s="784"/>
      <c r="C1426" s="784"/>
      <c r="D1426" s="784"/>
      <c r="E1426" s="784"/>
      <c r="F1426" s="784"/>
      <c r="G1426" s="440">
        <f>SUM(G1424:G1425)</f>
        <v>1.4115000000000002</v>
      </c>
    </row>
    <row r="1427" spans="1:7" ht="12.75">
      <c r="A1427" s="783" t="s">
        <v>440</v>
      </c>
      <c r="B1427" s="784"/>
      <c r="C1427" s="784"/>
      <c r="D1427" s="784"/>
      <c r="E1427" s="784"/>
      <c r="F1427" s="784"/>
      <c r="G1427" s="440">
        <f>SUM(G1423)</f>
        <v>1.98</v>
      </c>
    </row>
    <row r="1428" spans="1:7" ht="12.75">
      <c r="A1428" s="783" t="s">
        <v>441</v>
      </c>
      <c r="B1428" s="784"/>
      <c r="C1428" s="784"/>
      <c r="D1428" s="784"/>
      <c r="E1428" s="784"/>
      <c r="F1428" s="784"/>
      <c r="G1428" s="440">
        <f>SUM(G1426:G1427)</f>
        <v>3.3915</v>
      </c>
    </row>
    <row r="1429" spans="1:7" ht="12.75">
      <c r="A1429" s="783" t="s">
        <v>442</v>
      </c>
      <c r="B1429" s="784"/>
      <c r="C1429" s="784"/>
      <c r="D1429" s="784"/>
      <c r="E1429" s="784"/>
      <c r="F1429" s="784"/>
      <c r="G1429" s="440">
        <f>G1426*85.16%</f>
        <v>1.2020334000000001</v>
      </c>
    </row>
    <row r="1430" spans="1:7" ht="12.75">
      <c r="A1430" s="783" t="s">
        <v>443</v>
      </c>
      <c r="B1430" s="784"/>
      <c r="C1430" s="784"/>
      <c r="D1430" s="784"/>
      <c r="E1430" s="784"/>
      <c r="F1430" s="784"/>
      <c r="G1430" s="440">
        <f>G1429</f>
        <v>1.2020334000000001</v>
      </c>
    </row>
    <row r="1431" spans="1:7" ht="12.75">
      <c r="A1431" s="785" t="s">
        <v>444</v>
      </c>
      <c r="B1431" s="786"/>
      <c r="C1431" s="786"/>
      <c r="D1431" s="786"/>
      <c r="E1431" s="786"/>
      <c r="F1431" s="787"/>
      <c r="G1431" s="440">
        <f>G1427</f>
        <v>1.98</v>
      </c>
    </row>
    <row r="1432" spans="1:7" ht="12.75">
      <c r="A1432" s="785" t="s">
        <v>445</v>
      </c>
      <c r="B1432" s="786"/>
      <c r="C1432" s="786"/>
      <c r="D1432" s="786"/>
      <c r="E1432" s="786"/>
      <c r="F1432" s="787"/>
      <c r="G1432" s="440">
        <f>G1426+G1430</f>
        <v>2.6135334000000006</v>
      </c>
    </row>
    <row r="1433" spans="1:7" ht="12.75">
      <c r="A1433" s="785" t="s">
        <v>446</v>
      </c>
      <c r="B1433" s="786"/>
      <c r="C1433" s="786"/>
      <c r="D1433" s="786"/>
      <c r="E1433" s="786"/>
      <c r="F1433" s="787"/>
      <c r="G1433" s="440">
        <f>SUM(G1431:G1432)</f>
        <v>4.5935334</v>
      </c>
    </row>
    <row r="1434" spans="1:7" ht="12.75">
      <c r="A1434" s="796"/>
      <c r="B1434" s="797"/>
      <c r="C1434" s="797"/>
      <c r="D1434" s="797"/>
      <c r="E1434" s="797"/>
      <c r="F1434" s="797"/>
      <c r="G1434" s="798"/>
    </row>
    <row r="1435" spans="1:7" ht="12.75">
      <c r="A1435" s="491" t="s">
        <v>83</v>
      </c>
      <c r="B1435" s="799" t="s">
        <v>1277</v>
      </c>
      <c r="C1435" s="799"/>
      <c r="D1435" s="799"/>
      <c r="E1435" s="799"/>
      <c r="F1435" s="799"/>
      <c r="G1435" s="800"/>
    </row>
    <row r="1436" spans="1:7" ht="12.75">
      <c r="A1436" s="804"/>
      <c r="B1436" s="805"/>
      <c r="C1436" s="805"/>
      <c r="D1436" s="805"/>
      <c r="E1436" s="805"/>
      <c r="F1436" s="805"/>
      <c r="G1436" s="806"/>
    </row>
    <row r="1437" spans="1:7" ht="12.75">
      <c r="A1437" s="804"/>
      <c r="B1437" s="805"/>
      <c r="C1437" s="805"/>
      <c r="D1437" s="805"/>
      <c r="E1437" s="805"/>
      <c r="F1437" s="805"/>
      <c r="G1437" s="806"/>
    </row>
    <row r="1438" spans="1:7" ht="12.75">
      <c r="A1438" s="594"/>
      <c r="B1438" s="595"/>
      <c r="C1438" s="595"/>
      <c r="D1438" s="595"/>
      <c r="E1438" s="595"/>
      <c r="F1438" s="595"/>
      <c r="G1438" s="596"/>
    </row>
    <row r="1439" spans="1:7" ht="12.75">
      <c r="A1439" s="597" t="s">
        <v>1503</v>
      </c>
      <c r="B1439" s="597" t="s">
        <v>1504</v>
      </c>
      <c r="C1439" s="595"/>
      <c r="D1439" s="595"/>
      <c r="E1439" s="595"/>
      <c r="F1439" s="595"/>
      <c r="G1439" s="596"/>
    </row>
    <row r="1440" spans="1:7" ht="12.75">
      <c r="A1440" s="597" t="s">
        <v>1787</v>
      </c>
      <c r="B1440" s="597"/>
      <c r="C1440" s="595"/>
      <c r="D1440" s="595"/>
      <c r="E1440" s="595"/>
      <c r="F1440" s="595"/>
      <c r="G1440" s="596"/>
    </row>
    <row r="1441" spans="1:7" ht="51">
      <c r="A1441" s="171" t="s">
        <v>874</v>
      </c>
      <c r="B1441" s="182" t="s">
        <v>875</v>
      </c>
      <c r="C1441" s="172" t="s">
        <v>72</v>
      </c>
      <c r="D1441" s="172" t="s">
        <v>75</v>
      </c>
      <c r="E1441" s="373"/>
      <c r="F1441" s="374"/>
      <c r="G1441" s="375"/>
    </row>
    <row r="1442" spans="1:7" ht="51">
      <c r="A1442" s="173" t="s">
        <v>537</v>
      </c>
      <c r="B1442" s="174" t="s">
        <v>538</v>
      </c>
      <c r="C1442" s="175" t="s">
        <v>73</v>
      </c>
      <c r="D1442" s="175" t="s">
        <v>75</v>
      </c>
      <c r="E1442" s="434">
        <v>2</v>
      </c>
      <c r="F1442" s="435">
        <v>0.31</v>
      </c>
      <c r="G1442" s="436">
        <f>E1442*F1442</f>
        <v>0.62</v>
      </c>
    </row>
    <row r="1443" spans="1:7" ht="25.5">
      <c r="A1443" s="173" t="s">
        <v>876</v>
      </c>
      <c r="B1443" s="174" t="s">
        <v>877</v>
      </c>
      <c r="C1443" s="175" t="s">
        <v>73</v>
      </c>
      <c r="D1443" s="175" t="s">
        <v>75</v>
      </c>
      <c r="E1443" s="434">
        <v>1</v>
      </c>
      <c r="F1443" s="435">
        <v>6.76</v>
      </c>
      <c r="G1443" s="436">
        <f>E1443*F1443</f>
        <v>6.76</v>
      </c>
    </row>
    <row r="1444" spans="1:7" ht="25.5">
      <c r="A1444" s="173" t="s">
        <v>457</v>
      </c>
      <c r="B1444" s="174" t="s">
        <v>458</v>
      </c>
      <c r="C1444" s="175" t="s">
        <v>72</v>
      </c>
      <c r="D1444" s="175" t="s">
        <v>77</v>
      </c>
      <c r="E1444" s="434">
        <v>0.2889</v>
      </c>
      <c r="F1444" s="435">
        <v>12.97</v>
      </c>
      <c r="G1444" s="436">
        <f>E1444*F1444</f>
        <v>3.747033</v>
      </c>
    </row>
    <row r="1445" spans="1:7" ht="25.5">
      <c r="A1445" s="173" t="s">
        <v>459</v>
      </c>
      <c r="B1445" s="174" t="s">
        <v>460</v>
      </c>
      <c r="C1445" s="175" t="s">
        <v>72</v>
      </c>
      <c r="D1445" s="175" t="s">
        <v>77</v>
      </c>
      <c r="E1445" s="434">
        <v>0.2889</v>
      </c>
      <c r="F1445" s="435">
        <v>15.26</v>
      </c>
      <c r="G1445" s="436">
        <f>E1445*F1445</f>
        <v>4.408614</v>
      </c>
    </row>
    <row r="1446" spans="1:7" ht="12.75">
      <c r="A1446" s="783" t="s">
        <v>439</v>
      </c>
      <c r="B1446" s="784"/>
      <c r="C1446" s="784"/>
      <c r="D1446" s="784"/>
      <c r="E1446" s="784"/>
      <c r="F1446" s="784"/>
      <c r="G1446" s="440">
        <f>SUM(G1444:G1445)</f>
        <v>8.155647</v>
      </c>
    </row>
    <row r="1447" spans="1:7" ht="12.75">
      <c r="A1447" s="783" t="s">
        <v>440</v>
      </c>
      <c r="B1447" s="784"/>
      <c r="C1447" s="784"/>
      <c r="D1447" s="784"/>
      <c r="E1447" s="784"/>
      <c r="F1447" s="784"/>
      <c r="G1447" s="440">
        <f>SUM(G1442:G1443)</f>
        <v>7.38</v>
      </c>
    </row>
    <row r="1448" spans="1:7" ht="12.75">
      <c r="A1448" s="783" t="s">
        <v>441</v>
      </c>
      <c r="B1448" s="784"/>
      <c r="C1448" s="784"/>
      <c r="D1448" s="784"/>
      <c r="E1448" s="784"/>
      <c r="F1448" s="784"/>
      <c r="G1448" s="440">
        <f>SUM(G1446:G1447)</f>
        <v>15.535647</v>
      </c>
    </row>
    <row r="1449" spans="1:7" ht="12.75">
      <c r="A1449" s="783" t="s">
        <v>442</v>
      </c>
      <c r="B1449" s="784"/>
      <c r="C1449" s="784"/>
      <c r="D1449" s="784"/>
      <c r="E1449" s="784"/>
      <c r="F1449" s="784"/>
      <c r="G1449" s="440">
        <f>G1446*85.16%</f>
        <v>6.945348985199999</v>
      </c>
    </row>
    <row r="1450" spans="1:7" ht="12.75">
      <c r="A1450" s="783" t="s">
        <v>443</v>
      </c>
      <c r="B1450" s="784"/>
      <c r="C1450" s="784"/>
      <c r="D1450" s="784"/>
      <c r="E1450" s="784"/>
      <c r="F1450" s="784"/>
      <c r="G1450" s="440">
        <f>G1449</f>
        <v>6.945348985199999</v>
      </c>
    </row>
    <row r="1451" spans="1:7" ht="12.75">
      <c r="A1451" s="785" t="s">
        <v>444</v>
      </c>
      <c r="B1451" s="786"/>
      <c r="C1451" s="786"/>
      <c r="D1451" s="786"/>
      <c r="E1451" s="786"/>
      <c r="F1451" s="787"/>
      <c r="G1451" s="440">
        <f>G1447</f>
        <v>7.38</v>
      </c>
    </row>
    <row r="1452" spans="1:7" ht="12.75">
      <c r="A1452" s="785" t="s">
        <v>445</v>
      </c>
      <c r="B1452" s="786"/>
      <c r="C1452" s="786"/>
      <c r="D1452" s="786"/>
      <c r="E1452" s="786"/>
      <c r="F1452" s="787"/>
      <c r="G1452" s="440">
        <f>G1446+G1450</f>
        <v>15.100995985199999</v>
      </c>
    </row>
    <row r="1453" spans="1:7" ht="12.75">
      <c r="A1453" s="785" t="s">
        <v>446</v>
      </c>
      <c r="B1453" s="786"/>
      <c r="C1453" s="786"/>
      <c r="D1453" s="786"/>
      <c r="E1453" s="786"/>
      <c r="F1453" s="787"/>
      <c r="G1453" s="440">
        <f>SUM(G1451:G1452)</f>
        <v>22.4809959852</v>
      </c>
    </row>
    <row r="1454" spans="1:7" ht="12.75">
      <c r="A1454" s="796"/>
      <c r="B1454" s="797"/>
      <c r="C1454" s="797"/>
      <c r="D1454" s="797"/>
      <c r="E1454" s="797"/>
      <c r="F1454" s="797"/>
      <c r="G1454" s="798"/>
    </row>
    <row r="1455" spans="1:7" ht="5.25" customHeight="1">
      <c r="A1455" s="804"/>
      <c r="B1455" s="805"/>
      <c r="C1455" s="805"/>
      <c r="D1455" s="805"/>
      <c r="E1455" s="805"/>
      <c r="F1455" s="805"/>
      <c r="G1455" s="806"/>
    </row>
    <row r="1456" spans="1:7" ht="12.75">
      <c r="A1456" s="597" t="s">
        <v>1788</v>
      </c>
      <c r="B1456" s="595"/>
      <c r="C1456" s="595"/>
      <c r="D1456" s="595"/>
      <c r="E1456" s="595"/>
      <c r="F1456" s="595"/>
      <c r="G1456" s="596"/>
    </row>
    <row r="1457" spans="1:7" ht="51">
      <c r="A1457" s="171" t="s">
        <v>878</v>
      </c>
      <c r="B1457" s="182" t="s">
        <v>879</v>
      </c>
      <c r="C1457" s="172" t="s">
        <v>72</v>
      </c>
      <c r="D1457" s="172" t="s">
        <v>75</v>
      </c>
      <c r="E1457" s="373"/>
      <c r="F1457" s="374"/>
      <c r="G1457" s="375"/>
    </row>
    <row r="1458" spans="1:7" ht="51">
      <c r="A1458" s="173" t="s">
        <v>537</v>
      </c>
      <c r="B1458" s="174" t="s">
        <v>538</v>
      </c>
      <c r="C1458" s="175" t="s">
        <v>73</v>
      </c>
      <c r="D1458" s="175" t="s">
        <v>75</v>
      </c>
      <c r="E1458" s="434">
        <v>2</v>
      </c>
      <c r="F1458" s="435">
        <v>0.31</v>
      </c>
      <c r="G1458" s="436">
        <f>E1458*F1458</f>
        <v>0.62</v>
      </c>
    </row>
    <row r="1459" spans="1:7" ht="25.5">
      <c r="A1459" s="173" t="s">
        <v>880</v>
      </c>
      <c r="B1459" s="174" t="s">
        <v>881</v>
      </c>
      <c r="C1459" s="175" t="s">
        <v>73</v>
      </c>
      <c r="D1459" s="175" t="s">
        <v>75</v>
      </c>
      <c r="E1459" s="434">
        <v>1</v>
      </c>
      <c r="F1459" s="435">
        <v>7.07</v>
      </c>
      <c r="G1459" s="436">
        <f>E1459*F1459</f>
        <v>7.07</v>
      </c>
    </row>
    <row r="1460" spans="1:7" ht="25.5">
      <c r="A1460" s="173" t="s">
        <v>457</v>
      </c>
      <c r="B1460" s="174" t="s">
        <v>458</v>
      </c>
      <c r="C1460" s="175" t="s">
        <v>72</v>
      </c>
      <c r="D1460" s="175" t="s">
        <v>77</v>
      </c>
      <c r="E1460" s="434">
        <v>0.2955</v>
      </c>
      <c r="F1460" s="435">
        <v>12.97</v>
      </c>
      <c r="G1460" s="436">
        <f>E1460*F1460</f>
        <v>3.832635</v>
      </c>
    </row>
    <row r="1461" spans="1:7" ht="25.5">
      <c r="A1461" s="173" t="s">
        <v>459</v>
      </c>
      <c r="B1461" s="174" t="s">
        <v>460</v>
      </c>
      <c r="C1461" s="175" t="s">
        <v>72</v>
      </c>
      <c r="D1461" s="175" t="s">
        <v>77</v>
      </c>
      <c r="E1461" s="434">
        <v>0.2955</v>
      </c>
      <c r="F1461" s="435">
        <v>15.26</v>
      </c>
      <c r="G1461" s="436">
        <f>E1461*F1461</f>
        <v>4.509329999999999</v>
      </c>
    </row>
    <row r="1462" spans="1:7" ht="12.75">
      <c r="A1462" s="783" t="s">
        <v>439</v>
      </c>
      <c r="B1462" s="784"/>
      <c r="C1462" s="784"/>
      <c r="D1462" s="784"/>
      <c r="E1462" s="784"/>
      <c r="F1462" s="784"/>
      <c r="G1462" s="440">
        <f>SUM(G1460:G1461)</f>
        <v>8.341964999999998</v>
      </c>
    </row>
    <row r="1463" spans="1:7" ht="12.75">
      <c r="A1463" s="783" t="s">
        <v>440</v>
      </c>
      <c r="B1463" s="784"/>
      <c r="C1463" s="784"/>
      <c r="D1463" s="784"/>
      <c r="E1463" s="784"/>
      <c r="F1463" s="784"/>
      <c r="G1463" s="440">
        <f>SUM(G1458:G1459)</f>
        <v>7.69</v>
      </c>
    </row>
    <row r="1464" spans="1:7" ht="12.75">
      <c r="A1464" s="783" t="s">
        <v>441</v>
      </c>
      <c r="B1464" s="784"/>
      <c r="C1464" s="784"/>
      <c r="D1464" s="784"/>
      <c r="E1464" s="784"/>
      <c r="F1464" s="784"/>
      <c r="G1464" s="440">
        <f>SUM(G1462:G1463)</f>
        <v>16.031965</v>
      </c>
    </row>
    <row r="1465" spans="1:7" ht="12.75">
      <c r="A1465" s="783" t="s">
        <v>442</v>
      </c>
      <c r="B1465" s="784"/>
      <c r="C1465" s="784"/>
      <c r="D1465" s="784"/>
      <c r="E1465" s="784"/>
      <c r="F1465" s="784"/>
      <c r="G1465" s="440">
        <f>G1462*85.16%</f>
        <v>7.104017393999998</v>
      </c>
    </row>
    <row r="1466" spans="1:7" ht="12.75">
      <c r="A1466" s="783" t="s">
        <v>443</v>
      </c>
      <c r="B1466" s="784"/>
      <c r="C1466" s="784"/>
      <c r="D1466" s="784"/>
      <c r="E1466" s="784"/>
      <c r="F1466" s="784"/>
      <c r="G1466" s="440">
        <f>G1465</f>
        <v>7.104017393999998</v>
      </c>
    </row>
    <row r="1467" spans="1:7" ht="12.75">
      <c r="A1467" s="785" t="s">
        <v>444</v>
      </c>
      <c r="B1467" s="786"/>
      <c r="C1467" s="786"/>
      <c r="D1467" s="786"/>
      <c r="E1467" s="786"/>
      <c r="F1467" s="787"/>
      <c r="G1467" s="440">
        <f>G1463</f>
        <v>7.69</v>
      </c>
    </row>
    <row r="1468" spans="1:7" ht="12.75">
      <c r="A1468" s="785" t="s">
        <v>445</v>
      </c>
      <c r="B1468" s="786"/>
      <c r="C1468" s="786"/>
      <c r="D1468" s="786"/>
      <c r="E1468" s="786"/>
      <c r="F1468" s="787"/>
      <c r="G1468" s="440">
        <f>G1462+G1466</f>
        <v>15.445982393999996</v>
      </c>
    </row>
    <row r="1469" spans="1:7" ht="12.75">
      <c r="A1469" s="785" t="s">
        <v>446</v>
      </c>
      <c r="B1469" s="786"/>
      <c r="C1469" s="786"/>
      <c r="D1469" s="786"/>
      <c r="E1469" s="786"/>
      <c r="F1469" s="787"/>
      <c r="G1469" s="440">
        <f>SUM(G1467:G1468)</f>
        <v>23.135982393999996</v>
      </c>
    </row>
    <row r="1470" spans="1:7" ht="12.75">
      <c r="A1470" s="796"/>
      <c r="B1470" s="797"/>
      <c r="C1470" s="797"/>
      <c r="D1470" s="797"/>
      <c r="E1470" s="797"/>
      <c r="F1470" s="797"/>
      <c r="G1470" s="798"/>
    </row>
    <row r="1471" spans="1:7" ht="12.75">
      <c r="A1471" s="804"/>
      <c r="B1471" s="805"/>
      <c r="C1471" s="805"/>
      <c r="D1471" s="805"/>
      <c r="E1471" s="805"/>
      <c r="F1471" s="805"/>
      <c r="G1471" s="806"/>
    </row>
    <row r="1472" spans="1:7" ht="12.75">
      <c r="A1472" s="169"/>
      <c r="B1472" s="828"/>
      <c r="C1472" s="828"/>
      <c r="D1472" s="828"/>
      <c r="E1472" s="828"/>
      <c r="F1472" s="828"/>
      <c r="G1472" s="829"/>
    </row>
    <row r="1473" spans="1:7" ht="12.75">
      <c r="A1473" s="597" t="s">
        <v>1495</v>
      </c>
      <c r="B1473" s="597" t="s">
        <v>1494</v>
      </c>
      <c r="C1473" s="712"/>
      <c r="D1473" s="712"/>
      <c r="E1473" s="712"/>
      <c r="F1473" s="712"/>
      <c r="G1473" s="713"/>
    </row>
    <row r="1474" spans="1:7" ht="12.75">
      <c r="A1474" s="597" t="s">
        <v>1516</v>
      </c>
      <c r="B1474" s="597" t="s">
        <v>1517</v>
      </c>
      <c r="C1474" s="712"/>
      <c r="D1474" s="712"/>
      <c r="E1474" s="712"/>
      <c r="F1474" s="712"/>
      <c r="G1474" s="713"/>
    </row>
    <row r="1475" spans="1:7" ht="12.75">
      <c r="A1475" s="597" t="s">
        <v>1785</v>
      </c>
      <c r="B1475" s="597"/>
      <c r="C1475" s="712"/>
      <c r="D1475" s="712"/>
      <c r="E1475" s="712"/>
      <c r="F1475" s="712"/>
      <c r="G1475" s="713"/>
    </row>
    <row r="1476" spans="1:7" ht="51">
      <c r="A1476" s="171" t="s">
        <v>783</v>
      </c>
      <c r="B1476" s="182" t="s">
        <v>784</v>
      </c>
      <c r="C1476" s="172" t="s">
        <v>72</v>
      </c>
      <c r="D1476" s="172" t="s">
        <v>71</v>
      </c>
      <c r="E1476" s="373"/>
      <c r="F1476" s="374"/>
      <c r="G1476" s="375"/>
    </row>
    <row r="1477" spans="1:7" ht="51">
      <c r="A1477" s="173" t="s">
        <v>785</v>
      </c>
      <c r="B1477" s="174" t="s">
        <v>786</v>
      </c>
      <c r="C1477" s="175" t="s">
        <v>73</v>
      </c>
      <c r="D1477" s="175" t="s">
        <v>71</v>
      </c>
      <c r="E1477" s="434">
        <v>1.19</v>
      </c>
      <c r="F1477" s="435">
        <v>1.07</v>
      </c>
      <c r="G1477" s="436">
        <f>E1477*F1477</f>
        <v>1.2733</v>
      </c>
    </row>
    <row r="1478" spans="1:7" ht="25.5">
      <c r="A1478" s="173" t="s">
        <v>787</v>
      </c>
      <c r="B1478" s="174" t="s">
        <v>788</v>
      </c>
      <c r="C1478" s="175" t="s">
        <v>73</v>
      </c>
      <c r="D1478" s="175" t="s">
        <v>75</v>
      </c>
      <c r="E1478" s="434">
        <v>0.009</v>
      </c>
      <c r="F1478" s="435">
        <v>4.43</v>
      </c>
      <c r="G1478" s="436">
        <f>E1478*F1478</f>
        <v>0.039869999999999996</v>
      </c>
    </row>
    <row r="1479" spans="1:7" ht="25.5">
      <c r="A1479" s="173" t="s">
        <v>457</v>
      </c>
      <c r="B1479" s="174" t="s">
        <v>458</v>
      </c>
      <c r="C1479" s="175" t="s">
        <v>72</v>
      </c>
      <c r="D1479" s="175" t="s">
        <v>77</v>
      </c>
      <c r="E1479" s="434">
        <v>0.03</v>
      </c>
      <c r="F1479" s="435">
        <v>12.97</v>
      </c>
      <c r="G1479" s="436">
        <f>E1479*F1479</f>
        <v>0.3891</v>
      </c>
    </row>
    <row r="1480" spans="1:7" ht="25.5">
      <c r="A1480" s="173" t="s">
        <v>459</v>
      </c>
      <c r="B1480" s="174" t="s">
        <v>460</v>
      </c>
      <c r="C1480" s="175" t="s">
        <v>72</v>
      </c>
      <c r="D1480" s="175" t="s">
        <v>77</v>
      </c>
      <c r="E1480" s="434">
        <v>0.03</v>
      </c>
      <c r="F1480" s="435">
        <v>15.26</v>
      </c>
      <c r="G1480" s="436">
        <f>E1480*F1480</f>
        <v>0.4578</v>
      </c>
    </row>
    <row r="1481" spans="1:7" ht="12.75">
      <c r="A1481" s="783" t="s">
        <v>439</v>
      </c>
      <c r="B1481" s="784"/>
      <c r="C1481" s="784"/>
      <c r="D1481" s="784"/>
      <c r="E1481" s="784"/>
      <c r="F1481" s="784"/>
      <c r="G1481" s="440">
        <f>SUM(G1479:G1480)</f>
        <v>0.8469</v>
      </c>
    </row>
    <row r="1482" spans="1:7" ht="12.75">
      <c r="A1482" s="783" t="s">
        <v>440</v>
      </c>
      <c r="B1482" s="784"/>
      <c r="C1482" s="784"/>
      <c r="D1482" s="784"/>
      <c r="E1482" s="784"/>
      <c r="F1482" s="784"/>
      <c r="G1482" s="440">
        <f>SUM(G1477:G1478)</f>
        <v>1.3131700000000002</v>
      </c>
    </row>
    <row r="1483" spans="1:7" ht="12.75">
      <c r="A1483" s="783" t="s">
        <v>441</v>
      </c>
      <c r="B1483" s="784"/>
      <c r="C1483" s="784"/>
      <c r="D1483" s="784"/>
      <c r="E1483" s="784"/>
      <c r="F1483" s="784"/>
      <c r="G1483" s="440">
        <f>SUM(G1481:G1482)</f>
        <v>2.16007</v>
      </c>
    </row>
    <row r="1484" spans="1:7" ht="12.75">
      <c r="A1484" s="783" t="s">
        <v>442</v>
      </c>
      <c r="B1484" s="784"/>
      <c r="C1484" s="784"/>
      <c r="D1484" s="784"/>
      <c r="E1484" s="784"/>
      <c r="F1484" s="784"/>
      <c r="G1484" s="440">
        <f>G1481*85.16%</f>
        <v>0.72122004</v>
      </c>
    </row>
    <row r="1485" spans="1:7" ht="12.75">
      <c r="A1485" s="783" t="s">
        <v>443</v>
      </c>
      <c r="B1485" s="784"/>
      <c r="C1485" s="784"/>
      <c r="D1485" s="784"/>
      <c r="E1485" s="784"/>
      <c r="F1485" s="784"/>
      <c r="G1485" s="440">
        <f>G1484</f>
        <v>0.72122004</v>
      </c>
    </row>
    <row r="1486" spans="1:7" ht="12.75">
      <c r="A1486" s="785" t="s">
        <v>444</v>
      </c>
      <c r="B1486" s="786"/>
      <c r="C1486" s="786"/>
      <c r="D1486" s="786"/>
      <c r="E1486" s="786"/>
      <c r="F1486" s="787"/>
      <c r="G1486" s="440">
        <f>G1482</f>
        <v>1.3131700000000002</v>
      </c>
    </row>
    <row r="1487" spans="1:7" ht="12.75">
      <c r="A1487" s="785" t="s">
        <v>445</v>
      </c>
      <c r="B1487" s="786"/>
      <c r="C1487" s="786"/>
      <c r="D1487" s="786"/>
      <c r="E1487" s="786"/>
      <c r="F1487" s="787"/>
      <c r="G1487" s="440">
        <f>G1481+G1485</f>
        <v>1.56812004</v>
      </c>
    </row>
    <row r="1488" spans="1:7" ht="12.75">
      <c r="A1488" s="785" t="s">
        <v>446</v>
      </c>
      <c r="B1488" s="786"/>
      <c r="C1488" s="786"/>
      <c r="D1488" s="786"/>
      <c r="E1488" s="786"/>
      <c r="F1488" s="787"/>
      <c r="G1488" s="440">
        <f>SUM(G1486:G1487)</f>
        <v>2.88129004</v>
      </c>
    </row>
    <row r="1489" spans="1:7" ht="12.75">
      <c r="A1489" s="796"/>
      <c r="B1489" s="797"/>
      <c r="C1489" s="797"/>
      <c r="D1489" s="797"/>
      <c r="E1489" s="797"/>
      <c r="F1489" s="797"/>
      <c r="G1489" s="798"/>
    </row>
    <row r="1490" spans="1:7" ht="12.75">
      <c r="A1490" s="597" t="s">
        <v>1786</v>
      </c>
      <c r="B1490" s="595"/>
      <c r="C1490" s="595"/>
      <c r="D1490" s="595"/>
      <c r="E1490" s="595"/>
      <c r="F1490" s="595"/>
      <c r="G1490" s="596"/>
    </row>
    <row r="1491" spans="1:7" ht="51">
      <c r="A1491" s="171" t="s">
        <v>789</v>
      </c>
      <c r="B1491" s="182" t="s">
        <v>790</v>
      </c>
      <c r="C1491" s="172" t="s">
        <v>72</v>
      </c>
      <c r="D1491" s="172" t="s">
        <v>71</v>
      </c>
      <c r="E1491" s="373"/>
      <c r="F1491" s="374"/>
      <c r="G1491" s="375"/>
    </row>
    <row r="1492" spans="1:7" ht="25.5">
      <c r="A1492" s="173" t="s">
        <v>787</v>
      </c>
      <c r="B1492" s="174" t="s">
        <v>788</v>
      </c>
      <c r="C1492" s="175" t="s">
        <v>73</v>
      </c>
      <c r="D1492" s="175" t="s">
        <v>75</v>
      </c>
      <c r="E1492" s="434">
        <v>0.009</v>
      </c>
      <c r="F1492" s="435">
        <v>4.43</v>
      </c>
      <c r="G1492" s="436">
        <f>E1492*F1492</f>
        <v>0.039869999999999996</v>
      </c>
    </row>
    <row r="1493" spans="1:7" ht="25.5">
      <c r="A1493" s="173" t="s">
        <v>457</v>
      </c>
      <c r="B1493" s="174" t="s">
        <v>458</v>
      </c>
      <c r="C1493" s="175" t="s">
        <v>72</v>
      </c>
      <c r="D1493" s="175" t="s">
        <v>77</v>
      </c>
      <c r="E1493" s="434">
        <v>0.052</v>
      </c>
      <c r="F1493" s="435">
        <v>12.97</v>
      </c>
      <c r="G1493" s="436">
        <f>E1493*F1493</f>
        <v>0.67444</v>
      </c>
    </row>
    <row r="1494" spans="1:7" ht="25.5">
      <c r="A1494" s="173" t="s">
        <v>459</v>
      </c>
      <c r="B1494" s="174" t="s">
        <v>460</v>
      </c>
      <c r="C1494" s="175" t="s">
        <v>72</v>
      </c>
      <c r="D1494" s="175" t="s">
        <v>77</v>
      </c>
      <c r="E1494" s="434">
        <v>0.052</v>
      </c>
      <c r="F1494" s="435">
        <v>15.26</v>
      </c>
      <c r="G1494" s="436">
        <f>E1494*F1494</f>
        <v>0.79352</v>
      </c>
    </row>
    <row r="1495" spans="1:7" ht="63.75">
      <c r="A1495" s="173" t="s">
        <v>791</v>
      </c>
      <c r="B1495" s="174" t="s">
        <v>792</v>
      </c>
      <c r="C1495" s="175" t="s">
        <v>73</v>
      </c>
      <c r="D1495" s="175" t="s">
        <v>71</v>
      </c>
      <c r="E1495" s="434">
        <v>1.19</v>
      </c>
      <c r="F1495" s="435">
        <v>3.13</v>
      </c>
      <c r="G1495" s="436">
        <f>E1495*F1495</f>
        <v>3.7247</v>
      </c>
    </row>
    <row r="1496" spans="1:7" ht="12.75">
      <c r="A1496" s="783" t="s">
        <v>439</v>
      </c>
      <c r="B1496" s="784"/>
      <c r="C1496" s="784"/>
      <c r="D1496" s="784"/>
      <c r="E1496" s="784"/>
      <c r="F1496" s="784"/>
      <c r="G1496" s="440">
        <f>SUM(G1493:G1494)</f>
        <v>1.4679600000000002</v>
      </c>
    </row>
    <row r="1497" spans="1:7" ht="12.75">
      <c r="A1497" s="783" t="s">
        <v>440</v>
      </c>
      <c r="B1497" s="784"/>
      <c r="C1497" s="784"/>
      <c r="D1497" s="784"/>
      <c r="E1497" s="784"/>
      <c r="F1497" s="784"/>
      <c r="G1497" s="440">
        <f>G1492+G1495</f>
        <v>3.76457</v>
      </c>
    </row>
    <row r="1498" spans="1:7" ht="12.75">
      <c r="A1498" s="783" t="s">
        <v>441</v>
      </c>
      <c r="B1498" s="784"/>
      <c r="C1498" s="784"/>
      <c r="D1498" s="784"/>
      <c r="E1498" s="784"/>
      <c r="F1498" s="784"/>
      <c r="G1498" s="440">
        <f>SUM(G1496:G1497)</f>
        <v>5.232530000000001</v>
      </c>
    </row>
    <row r="1499" spans="1:7" ht="12.75">
      <c r="A1499" s="783" t="s">
        <v>442</v>
      </c>
      <c r="B1499" s="784"/>
      <c r="C1499" s="784"/>
      <c r="D1499" s="784"/>
      <c r="E1499" s="784"/>
      <c r="F1499" s="784"/>
      <c r="G1499" s="440">
        <f>G1496*85.16%</f>
        <v>1.250114736</v>
      </c>
    </row>
    <row r="1500" spans="1:7" ht="12.75">
      <c r="A1500" s="783" t="s">
        <v>443</v>
      </c>
      <c r="B1500" s="784"/>
      <c r="C1500" s="784"/>
      <c r="D1500" s="784"/>
      <c r="E1500" s="784"/>
      <c r="F1500" s="784"/>
      <c r="G1500" s="440">
        <f>G1499</f>
        <v>1.250114736</v>
      </c>
    </row>
    <row r="1501" spans="1:7" ht="12.75">
      <c r="A1501" s="785" t="s">
        <v>444</v>
      </c>
      <c r="B1501" s="786"/>
      <c r="C1501" s="786"/>
      <c r="D1501" s="786"/>
      <c r="E1501" s="786"/>
      <c r="F1501" s="787"/>
      <c r="G1501" s="440">
        <f>G1497</f>
        <v>3.76457</v>
      </c>
    </row>
    <row r="1502" spans="1:7" ht="12.75">
      <c r="A1502" s="785" t="s">
        <v>445</v>
      </c>
      <c r="B1502" s="786"/>
      <c r="C1502" s="786"/>
      <c r="D1502" s="786"/>
      <c r="E1502" s="786"/>
      <c r="F1502" s="787"/>
      <c r="G1502" s="440">
        <f>G1496+G1500</f>
        <v>2.718074736</v>
      </c>
    </row>
    <row r="1503" spans="1:7" ht="12.75">
      <c r="A1503" s="785" t="s">
        <v>446</v>
      </c>
      <c r="B1503" s="786"/>
      <c r="C1503" s="786"/>
      <c r="D1503" s="786"/>
      <c r="E1503" s="786"/>
      <c r="F1503" s="787"/>
      <c r="G1503" s="440">
        <f>SUM(G1501:G1502)</f>
        <v>6.482644736</v>
      </c>
    </row>
    <row r="1504" spans="1:7" ht="12.75">
      <c r="A1504" s="796"/>
      <c r="B1504" s="797"/>
      <c r="C1504" s="797"/>
      <c r="D1504" s="797"/>
      <c r="E1504" s="797"/>
      <c r="F1504" s="797"/>
      <c r="G1504" s="798"/>
    </row>
    <row r="1505" spans="1:7" ht="12.75">
      <c r="A1505" s="804"/>
      <c r="B1505" s="805"/>
      <c r="C1505" s="805"/>
      <c r="D1505" s="805"/>
      <c r="E1505" s="805"/>
      <c r="F1505" s="805"/>
      <c r="G1505" s="806"/>
    </row>
    <row r="1506" spans="1:7" ht="12.75">
      <c r="A1506" s="597" t="s">
        <v>1487</v>
      </c>
      <c r="B1506" s="597" t="s">
        <v>1488</v>
      </c>
      <c r="C1506" s="597"/>
      <c r="D1506" s="597"/>
      <c r="E1506" s="597"/>
      <c r="F1506" s="597"/>
      <c r="G1506" s="597"/>
    </row>
    <row r="1507" spans="1:7" ht="12.75">
      <c r="A1507" s="597" t="s">
        <v>1489</v>
      </c>
      <c r="B1507" s="597" t="s">
        <v>1492</v>
      </c>
      <c r="C1507" s="597"/>
      <c r="D1507" s="597"/>
      <c r="E1507" s="597"/>
      <c r="F1507" s="597"/>
      <c r="G1507" s="597"/>
    </row>
    <row r="1508" spans="1:7" ht="12.75">
      <c r="A1508" s="597" t="s">
        <v>1793</v>
      </c>
      <c r="B1508" s="597"/>
      <c r="C1508" s="597"/>
      <c r="D1508" s="597"/>
      <c r="E1508" s="597"/>
      <c r="F1508" s="597"/>
      <c r="G1508" s="597"/>
    </row>
    <row r="1509" spans="1:7" ht="63.75">
      <c r="A1509" s="171" t="s">
        <v>844</v>
      </c>
      <c r="B1509" s="182" t="s">
        <v>845</v>
      </c>
      <c r="C1509" s="172" t="s">
        <v>72</v>
      </c>
      <c r="D1509" s="172" t="s">
        <v>75</v>
      </c>
      <c r="E1509" s="373"/>
      <c r="F1509" s="374"/>
      <c r="G1509" s="375"/>
    </row>
    <row r="1510" spans="1:7" ht="51">
      <c r="A1510" s="173" t="s">
        <v>846</v>
      </c>
      <c r="B1510" s="174" t="s">
        <v>847</v>
      </c>
      <c r="C1510" s="175" t="s">
        <v>73</v>
      </c>
      <c r="D1510" s="175" t="s">
        <v>75</v>
      </c>
      <c r="E1510" s="434">
        <v>1</v>
      </c>
      <c r="F1510" s="435">
        <v>47.29</v>
      </c>
      <c r="G1510" s="436">
        <f>E1510*F1510</f>
        <v>47.29</v>
      </c>
    </row>
    <row r="1511" spans="1:7" ht="25.5">
      <c r="A1511" s="173" t="s">
        <v>459</v>
      </c>
      <c r="B1511" s="174" t="s">
        <v>460</v>
      </c>
      <c r="C1511" s="175" t="s">
        <v>72</v>
      </c>
      <c r="D1511" s="175" t="s">
        <v>77</v>
      </c>
      <c r="E1511" s="434">
        <v>0.7</v>
      </c>
      <c r="F1511" s="435">
        <v>15.26</v>
      </c>
      <c r="G1511" s="436">
        <f>E1511*F1511</f>
        <v>10.681999999999999</v>
      </c>
    </row>
    <row r="1512" spans="1:7" ht="25.5">
      <c r="A1512" s="173" t="s">
        <v>437</v>
      </c>
      <c r="B1512" s="174" t="s">
        <v>438</v>
      </c>
      <c r="C1512" s="175" t="s">
        <v>72</v>
      </c>
      <c r="D1512" s="175" t="s">
        <v>77</v>
      </c>
      <c r="E1512" s="434">
        <v>0.7</v>
      </c>
      <c r="F1512" s="435">
        <v>12.64</v>
      </c>
      <c r="G1512" s="436">
        <f>E1512*F1512</f>
        <v>8.847999999999999</v>
      </c>
    </row>
    <row r="1513" spans="1:7" ht="12.75">
      <c r="A1513" s="783" t="s">
        <v>439</v>
      </c>
      <c r="B1513" s="784"/>
      <c r="C1513" s="784"/>
      <c r="D1513" s="784"/>
      <c r="E1513" s="784"/>
      <c r="F1513" s="784"/>
      <c r="G1513" s="440">
        <f>SUM(G1511:G1512)</f>
        <v>19.529999999999998</v>
      </c>
    </row>
    <row r="1514" spans="1:7" ht="12.75">
      <c r="A1514" s="783" t="s">
        <v>440</v>
      </c>
      <c r="B1514" s="784"/>
      <c r="C1514" s="784"/>
      <c r="D1514" s="784"/>
      <c r="E1514" s="784"/>
      <c r="F1514" s="784"/>
      <c r="G1514" s="440">
        <f>SUM(G1510)</f>
        <v>47.29</v>
      </c>
    </row>
    <row r="1515" spans="1:7" ht="12.75">
      <c r="A1515" s="783" t="s">
        <v>441</v>
      </c>
      <c r="B1515" s="784"/>
      <c r="C1515" s="784"/>
      <c r="D1515" s="784"/>
      <c r="E1515" s="784"/>
      <c r="F1515" s="784"/>
      <c r="G1515" s="440">
        <f>SUM(G1513:G1514)</f>
        <v>66.82</v>
      </c>
    </row>
    <row r="1516" spans="1:7" ht="12.75">
      <c r="A1516" s="783" t="s">
        <v>442</v>
      </c>
      <c r="B1516" s="784"/>
      <c r="C1516" s="784"/>
      <c r="D1516" s="784"/>
      <c r="E1516" s="784"/>
      <c r="F1516" s="784"/>
      <c r="G1516" s="440">
        <f>G1513*85.16%</f>
        <v>16.631747999999995</v>
      </c>
    </row>
    <row r="1517" spans="1:7" ht="12.75">
      <c r="A1517" s="783" t="s">
        <v>443</v>
      </c>
      <c r="B1517" s="784"/>
      <c r="C1517" s="784"/>
      <c r="D1517" s="784"/>
      <c r="E1517" s="784"/>
      <c r="F1517" s="784"/>
      <c r="G1517" s="440">
        <f>G1516</f>
        <v>16.631747999999995</v>
      </c>
    </row>
    <row r="1518" spans="1:7" ht="12.75">
      <c r="A1518" s="785" t="s">
        <v>444</v>
      </c>
      <c r="B1518" s="786"/>
      <c r="C1518" s="786"/>
      <c r="D1518" s="786"/>
      <c r="E1518" s="786"/>
      <c r="F1518" s="787"/>
      <c r="G1518" s="440">
        <f>G1514</f>
        <v>47.29</v>
      </c>
    </row>
    <row r="1519" spans="1:7" ht="12.75">
      <c r="A1519" s="785" t="s">
        <v>445</v>
      </c>
      <c r="B1519" s="786"/>
      <c r="C1519" s="786"/>
      <c r="D1519" s="786"/>
      <c r="E1519" s="786"/>
      <c r="F1519" s="787"/>
      <c r="G1519" s="440">
        <f>G1513+G1517</f>
        <v>36.16174799999999</v>
      </c>
    </row>
    <row r="1520" spans="1:7" ht="12.75">
      <c r="A1520" s="785" t="s">
        <v>446</v>
      </c>
      <c r="B1520" s="786"/>
      <c r="C1520" s="786"/>
      <c r="D1520" s="786"/>
      <c r="E1520" s="786"/>
      <c r="F1520" s="787"/>
      <c r="G1520" s="440">
        <f>SUM(G1518:G1519)</f>
        <v>83.45174799999998</v>
      </c>
    </row>
    <row r="1521" spans="1:7" ht="12.75">
      <c r="A1521" s="796"/>
      <c r="B1521" s="797"/>
      <c r="C1521" s="797"/>
      <c r="D1521" s="797"/>
      <c r="E1521" s="797"/>
      <c r="F1521" s="797"/>
      <c r="G1521" s="798"/>
    </row>
    <row r="1522" spans="1:7" ht="12.75">
      <c r="A1522" s="804"/>
      <c r="B1522" s="805"/>
      <c r="C1522" s="805"/>
      <c r="D1522" s="805"/>
      <c r="E1522" s="805"/>
      <c r="F1522" s="805"/>
      <c r="G1522" s="806"/>
    </row>
    <row r="1523" spans="1:7" ht="12.75">
      <c r="A1523" s="597" t="s">
        <v>1794</v>
      </c>
      <c r="B1523" s="595"/>
      <c r="C1523" s="595"/>
      <c r="D1523" s="595"/>
      <c r="E1523" s="595"/>
      <c r="F1523" s="595"/>
      <c r="G1523" s="596"/>
    </row>
    <row r="1524" spans="1:7" ht="89.25">
      <c r="A1524" s="171" t="s">
        <v>827</v>
      </c>
      <c r="B1524" s="182" t="s">
        <v>213</v>
      </c>
      <c r="C1524" s="172" t="s">
        <v>72</v>
      </c>
      <c r="D1524" s="172" t="s">
        <v>75</v>
      </c>
      <c r="E1524" s="373"/>
      <c r="F1524" s="374"/>
      <c r="G1524" s="375"/>
    </row>
    <row r="1525" spans="1:7" ht="63.75">
      <c r="A1525" s="173" t="s">
        <v>828</v>
      </c>
      <c r="B1525" s="174" t="s">
        <v>829</v>
      </c>
      <c r="C1525" s="175" t="s">
        <v>73</v>
      </c>
      <c r="D1525" s="175" t="s">
        <v>75</v>
      </c>
      <c r="E1525" s="434">
        <v>1</v>
      </c>
      <c r="F1525" s="435">
        <v>92.68</v>
      </c>
      <c r="G1525" s="436">
        <f>E1525*F1525</f>
        <v>92.68</v>
      </c>
    </row>
    <row r="1526" spans="1:7" ht="25.5">
      <c r="A1526" s="173" t="s">
        <v>457</v>
      </c>
      <c r="B1526" s="174" t="s">
        <v>458</v>
      </c>
      <c r="C1526" s="175" t="s">
        <v>72</v>
      </c>
      <c r="D1526" s="175" t="s">
        <v>77</v>
      </c>
      <c r="E1526" s="434">
        <v>0.7</v>
      </c>
      <c r="F1526" s="435">
        <v>12.97</v>
      </c>
      <c r="G1526" s="436">
        <f>E1526*F1526</f>
        <v>9.079</v>
      </c>
    </row>
    <row r="1527" spans="1:7" ht="25.5">
      <c r="A1527" s="173" t="s">
        <v>459</v>
      </c>
      <c r="B1527" s="174" t="s">
        <v>460</v>
      </c>
      <c r="C1527" s="175" t="s">
        <v>72</v>
      </c>
      <c r="D1527" s="175" t="s">
        <v>77</v>
      </c>
      <c r="E1527" s="434">
        <v>0.7</v>
      </c>
      <c r="F1527" s="435">
        <v>15.26</v>
      </c>
      <c r="G1527" s="436">
        <f>E1527*F1527</f>
        <v>10.681999999999999</v>
      </c>
    </row>
    <row r="1528" spans="1:7" ht="12.75">
      <c r="A1528" s="783" t="s">
        <v>439</v>
      </c>
      <c r="B1528" s="784"/>
      <c r="C1528" s="784"/>
      <c r="D1528" s="784"/>
      <c r="E1528" s="784"/>
      <c r="F1528" s="784"/>
      <c r="G1528" s="440">
        <f>SUM(G1526:G1527)</f>
        <v>19.761</v>
      </c>
    </row>
    <row r="1529" spans="1:7" ht="12.75">
      <c r="A1529" s="783" t="s">
        <v>440</v>
      </c>
      <c r="B1529" s="784"/>
      <c r="C1529" s="784"/>
      <c r="D1529" s="784"/>
      <c r="E1529" s="784"/>
      <c r="F1529" s="784"/>
      <c r="G1529" s="440">
        <f>SUM(G1525)</f>
        <v>92.68</v>
      </c>
    </row>
    <row r="1530" spans="1:7" ht="12.75">
      <c r="A1530" s="783" t="s">
        <v>441</v>
      </c>
      <c r="B1530" s="784"/>
      <c r="C1530" s="784"/>
      <c r="D1530" s="784"/>
      <c r="E1530" s="784"/>
      <c r="F1530" s="784"/>
      <c r="G1530" s="440">
        <f>SUM(G1528:G1529)</f>
        <v>112.441</v>
      </c>
    </row>
    <row r="1531" spans="1:7" ht="12.75">
      <c r="A1531" s="783" t="s">
        <v>442</v>
      </c>
      <c r="B1531" s="784"/>
      <c r="C1531" s="784"/>
      <c r="D1531" s="784"/>
      <c r="E1531" s="784"/>
      <c r="F1531" s="784"/>
      <c r="G1531" s="440">
        <f>G1528*85.16%</f>
        <v>16.828467599999996</v>
      </c>
    </row>
    <row r="1532" spans="1:7" ht="12.75">
      <c r="A1532" s="783" t="s">
        <v>443</v>
      </c>
      <c r="B1532" s="784"/>
      <c r="C1532" s="784"/>
      <c r="D1532" s="784"/>
      <c r="E1532" s="784"/>
      <c r="F1532" s="784"/>
      <c r="G1532" s="440">
        <f>G1531</f>
        <v>16.828467599999996</v>
      </c>
    </row>
    <row r="1533" spans="1:7" ht="12.75">
      <c r="A1533" s="785" t="s">
        <v>444</v>
      </c>
      <c r="B1533" s="786"/>
      <c r="C1533" s="786"/>
      <c r="D1533" s="786"/>
      <c r="E1533" s="786"/>
      <c r="F1533" s="787"/>
      <c r="G1533" s="440">
        <f>G1529</f>
        <v>92.68</v>
      </c>
    </row>
    <row r="1534" spans="1:7" ht="12.75">
      <c r="A1534" s="785" t="s">
        <v>445</v>
      </c>
      <c r="B1534" s="786"/>
      <c r="C1534" s="786"/>
      <c r="D1534" s="786"/>
      <c r="E1534" s="786"/>
      <c r="F1534" s="787"/>
      <c r="G1534" s="440">
        <f>G1528+G1532</f>
        <v>36.58946759999999</v>
      </c>
    </row>
    <row r="1535" spans="1:7" ht="12.75">
      <c r="A1535" s="785" t="s">
        <v>446</v>
      </c>
      <c r="B1535" s="786"/>
      <c r="C1535" s="786"/>
      <c r="D1535" s="786"/>
      <c r="E1535" s="786"/>
      <c r="F1535" s="787"/>
      <c r="G1535" s="440">
        <f>SUM(G1533:G1534)</f>
        <v>129.26946759999998</v>
      </c>
    </row>
    <row r="1536" spans="1:7" ht="12.75">
      <c r="A1536" s="796"/>
      <c r="B1536" s="797"/>
      <c r="C1536" s="797"/>
      <c r="D1536" s="797"/>
      <c r="E1536" s="797"/>
      <c r="F1536" s="797"/>
      <c r="G1536" s="798"/>
    </row>
    <row r="1537" spans="1:7" ht="12.75">
      <c r="A1537" s="491" t="s">
        <v>83</v>
      </c>
      <c r="B1537" s="799" t="s">
        <v>830</v>
      </c>
      <c r="C1537" s="799"/>
      <c r="D1537" s="799"/>
      <c r="E1537" s="799"/>
      <c r="F1537" s="799"/>
      <c r="G1537" s="800"/>
    </row>
    <row r="1538" spans="1:7" ht="12.75">
      <c r="A1538" s="804"/>
      <c r="B1538" s="805"/>
      <c r="C1538" s="805"/>
      <c r="D1538" s="805"/>
      <c r="E1538" s="805"/>
      <c r="F1538" s="805"/>
      <c r="G1538" s="806"/>
    </row>
    <row r="1539" spans="1:7" ht="12.75">
      <c r="A1539" s="597" t="s">
        <v>1795</v>
      </c>
      <c r="B1539" s="595"/>
      <c r="C1539" s="595"/>
      <c r="D1539" s="595"/>
      <c r="E1539" s="595"/>
      <c r="F1539" s="595"/>
      <c r="G1539" s="596"/>
    </row>
    <row r="1540" spans="1:7" ht="102">
      <c r="A1540" s="171" t="s">
        <v>831</v>
      </c>
      <c r="B1540" s="182" t="s">
        <v>832</v>
      </c>
      <c r="C1540" s="172" t="s">
        <v>72</v>
      </c>
      <c r="D1540" s="172" t="s">
        <v>75</v>
      </c>
      <c r="E1540" s="373"/>
      <c r="F1540" s="374"/>
      <c r="G1540" s="375"/>
    </row>
    <row r="1541" spans="1:7" ht="25.5">
      <c r="A1541" s="173" t="s">
        <v>833</v>
      </c>
      <c r="B1541" s="174" t="s">
        <v>834</v>
      </c>
      <c r="C1541" s="175" t="s">
        <v>73</v>
      </c>
      <c r="D1541" s="175" t="s">
        <v>75</v>
      </c>
      <c r="E1541" s="434">
        <v>1</v>
      </c>
      <c r="F1541" s="435">
        <v>48</v>
      </c>
      <c r="G1541" s="436">
        <f>E1541*F1541</f>
        <v>48</v>
      </c>
    </row>
    <row r="1542" spans="1:7" ht="25.5">
      <c r="A1542" s="173" t="s">
        <v>835</v>
      </c>
      <c r="B1542" s="174" t="s">
        <v>836</v>
      </c>
      <c r="C1542" s="175" t="s">
        <v>73</v>
      </c>
      <c r="D1542" s="175" t="s">
        <v>75</v>
      </c>
      <c r="E1542" s="434">
        <v>2</v>
      </c>
      <c r="F1542" s="435">
        <v>14.99</v>
      </c>
      <c r="G1542" s="436">
        <f>E1542*F1542</f>
        <v>29.98</v>
      </c>
    </row>
    <row r="1543" spans="1:7" ht="25.5">
      <c r="A1543" s="173" t="s">
        <v>837</v>
      </c>
      <c r="B1543" s="174" t="s">
        <v>838</v>
      </c>
      <c r="C1543" s="175" t="s">
        <v>73</v>
      </c>
      <c r="D1543" s="175" t="s">
        <v>75</v>
      </c>
      <c r="E1543" s="434">
        <v>1</v>
      </c>
      <c r="F1543" s="435">
        <v>33.74</v>
      </c>
      <c r="G1543" s="436">
        <f>E1543*F1543</f>
        <v>33.74</v>
      </c>
    </row>
    <row r="1544" spans="1:7" ht="25.5">
      <c r="A1544" s="173" t="s">
        <v>457</v>
      </c>
      <c r="B1544" s="174" t="s">
        <v>458</v>
      </c>
      <c r="C1544" s="175" t="s">
        <v>72</v>
      </c>
      <c r="D1544" s="175" t="s">
        <v>77</v>
      </c>
      <c r="E1544" s="434">
        <v>0.7</v>
      </c>
      <c r="F1544" s="435">
        <v>12.97</v>
      </c>
      <c r="G1544" s="436">
        <f>E1544*F1544</f>
        <v>9.079</v>
      </c>
    </row>
    <row r="1545" spans="1:7" ht="25.5">
      <c r="A1545" s="173" t="s">
        <v>459</v>
      </c>
      <c r="B1545" s="174" t="s">
        <v>460</v>
      </c>
      <c r="C1545" s="175" t="s">
        <v>72</v>
      </c>
      <c r="D1545" s="175" t="s">
        <v>77</v>
      </c>
      <c r="E1545" s="434">
        <v>0.7</v>
      </c>
      <c r="F1545" s="435">
        <v>15.26</v>
      </c>
      <c r="G1545" s="436">
        <f>E1545*F1545</f>
        <v>10.681999999999999</v>
      </c>
    </row>
    <row r="1546" spans="1:7" ht="12.75">
      <c r="A1546" s="783" t="s">
        <v>439</v>
      </c>
      <c r="B1546" s="784"/>
      <c r="C1546" s="784"/>
      <c r="D1546" s="784"/>
      <c r="E1546" s="784"/>
      <c r="F1546" s="784"/>
      <c r="G1546" s="440">
        <f>SUM(G1544:G1545)</f>
        <v>19.761</v>
      </c>
    </row>
    <row r="1547" spans="1:7" ht="12.75">
      <c r="A1547" s="783" t="s">
        <v>440</v>
      </c>
      <c r="B1547" s="784"/>
      <c r="C1547" s="784"/>
      <c r="D1547" s="784"/>
      <c r="E1547" s="784"/>
      <c r="F1547" s="784"/>
      <c r="G1547" s="440">
        <f>SUM(G1541:G1543)</f>
        <v>111.72</v>
      </c>
    </row>
    <row r="1548" spans="1:7" ht="12.75">
      <c r="A1548" s="783" t="s">
        <v>441</v>
      </c>
      <c r="B1548" s="784"/>
      <c r="C1548" s="784"/>
      <c r="D1548" s="784"/>
      <c r="E1548" s="784"/>
      <c r="F1548" s="784"/>
      <c r="G1548" s="440">
        <f>SUM(G1546:G1547)</f>
        <v>131.481</v>
      </c>
    </row>
    <row r="1549" spans="1:7" ht="12.75">
      <c r="A1549" s="783" t="s">
        <v>442</v>
      </c>
      <c r="B1549" s="784"/>
      <c r="C1549" s="784"/>
      <c r="D1549" s="784"/>
      <c r="E1549" s="784"/>
      <c r="F1549" s="784"/>
      <c r="G1549" s="440">
        <f>G1546*85.16%</f>
        <v>16.828467599999996</v>
      </c>
    </row>
    <row r="1550" spans="1:7" ht="12.75">
      <c r="A1550" s="783" t="s">
        <v>443</v>
      </c>
      <c r="B1550" s="784"/>
      <c r="C1550" s="784"/>
      <c r="D1550" s="784"/>
      <c r="E1550" s="784"/>
      <c r="F1550" s="784"/>
      <c r="G1550" s="440">
        <f>G1549</f>
        <v>16.828467599999996</v>
      </c>
    </row>
    <row r="1551" spans="1:7" ht="12.75">
      <c r="A1551" s="785" t="s">
        <v>444</v>
      </c>
      <c r="B1551" s="786"/>
      <c r="C1551" s="786"/>
      <c r="D1551" s="786"/>
      <c r="E1551" s="786"/>
      <c r="F1551" s="787"/>
      <c r="G1551" s="440">
        <f>G1547</f>
        <v>111.72</v>
      </c>
    </row>
    <row r="1552" spans="1:7" ht="12.75">
      <c r="A1552" s="785" t="s">
        <v>445</v>
      </c>
      <c r="B1552" s="786"/>
      <c r="C1552" s="786"/>
      <c r="D1552" s="786"/>
      <c r="E1552" s="786"/>
      <c r="F1552" s="787"/>
      <c r="G1552" s="440">
        <f>G1546+G1550</f>
        <v>36.58946759999999</v>
      </c>
    </row>
    <row r="1553" spans="1:7" ht="12.75">
      <c r="A1553" s="785" t="s">
        <v>446</v>
      </c>
      <c r="B1553" s="786"/>
      <c r="C1553" s="786"/>
      <c r="D1553" s="786"/>
      <c r="E1553" s="786"/>
      <c r="F1553" s="787"/>
      <c r="G1553" s="440">
        <f>SUM(G1551:G1552)</f>
        <v>148.3094676</v>
      </c>
    </row>
    <row r="1554" spans="1:7" ht="12.75">
      <c r="A1554" s="796"/>
      <c r="B1554" s="797"/>
      <c r="C1554" s="797"/>
      <c r="D1554" s="797"/>
      <c r="E1554" s="797"/>
      <c r="F1554" s="797"/>
      <c r="G1554" s="798"/>
    </row>
    <row r="1555" spans="1:7" ht="12.75">
      <c r="A1555" s="491" t="s">
        <v>83</v>
      </c>
      <c r="B1555" s="799" t="s">
        <v>839</v>
      </c>
      <c r="C1555" s="799"/>
      <c r="D1555" s="799"/>
      <c r="E1555" s="799"/>
      <c r="F1555" s="799"/>
      <c r="G1555" s="800"/>
    </row>
    <row r="1556" spans="1:7" ht="12.75">
      <c r="A1556" s="804"/>
      <c r="B1556" s="805"/>
      <c r="C1556" s="805"/>
      <c r="D1556" s="805"/>
      <c r="E1556" s="805"/>
      <c r="F1556" s="805"/>
      <c r="G1556" s="806"/>
    </row>
    <row r="1557" spans="1:7" ht="12.75">
      <c r="A1557" s="597" t="s">
        <v>1796</v>
      </c>
      <c r="B1557" s="595"/>
      <c r="C1557" s="595"/>
      <c r="D1557" s="595"/>
      <c r="E1557" s="595"/>
      <c r="F1557" s="595"/>
      <c r="G1557" s="596"/>
    </row>
    <row r="1558" spans="1:7" ht="51">
      <c r="A1558" s="171" t="s">
        <v>840</v>
      </c>
      <c r="B1558" s="182" t="s">
        <v>841</v>
      </c>
      <c r="C1558" s="172" t="s">
        <v>72</v>
      </c>
      <c r="D1558" s="172" t="s">
        <v>75</v>
      </c>
      <c r="E1558" s="373"/>
      <c r="F1558" s="374"/>
      <c r="G1558" s="375"/>
    </row>
    <row r="1559" spans="1:7" ht="38.25">
      <c r="A1559" s="173" t="s">
        <v>842</v>
      </c>
      <c r="B1559" s="174" t="s">
        <v>843</v>
      </c>
      <c r="C1559" s="175" t="s">
        <v>73</v>
      </c>
      <c r="D1559" s="175" t="s">
        <v>75</v>
      </c>
      <c r="E1559" s="434">
        <v>1</v>
      </c>
      <c r="F1559" s="435">
        <v>5.8</v>
      </c>
      <c r="G1559" s="436">
        <f>E1559*F1559</f>
        <v>5.8</v>
      </c>
    </row>
    <row r="1560" spans="1:7" ht="25.5">
      <c r="A1560" s="173" t="s">
        <v>457</v>
      </c>
      <c r="B1560" s="174" t="s">
        <v>458</v>
      </c>
      <c r="C1560" s="175" t="s">
        <v>72</v>
      </c>
      <c r="D1560" s="175" t="s">
        <v>77</v>
      </c>
      <c r="E1560" s="434">
        <v>0.5</v>
      </c>
      <c r="F1560" s="435">
        <v>12.97</v>
      </c>
      <c r="G1560" s="436">
        <f>E1560*F1560</f>
        <v>6.485</v>
      </c>
    </row>
    <row r="1561" spans="1:7" ht="25.5">
      <c r="A1561" s="173" t="s">
        <v>459</v>
      </c>
      <c r="B1561" s="174" t="s">
        <v>460</v>
      </c>
      <c r="C1561" s="175" t="s">
        <v>72</v>
      </c>
      <c r="D1561" s="175" t="s">
        <v>77</v>
      </c>
      <c r="E1561" s="434">
        <v>0.5</v>
      </c>
      <c r="F1561" s="435">
        <v>15.26</v>
      </c>
      <c r="G1561" s="436">
        <f>E1561*F1561</f>
        <v>7.63</v>
      </c>
    </row>
    <row r="1562" spans="1:7" ht="12.75">
      <c r="A1562" s="783" t="s">
        <v>439</v>
      </c>
      <c r="B1562" s="784"/>
      <c r="C1562" s="784"/>
      <c r="D1562" s="784"/>
      <c r="E1562" s="784"/>
      <c r="F1562" s="784"/>
      <c r="G1562" s="440">
        <f>SUM(G1560:G1561)</f>
        <v>14.115</v>
      </c>
    </row>
    <row r="1563" spans="1:7" ht="12.75">
      <c r="A1563" s="783" t="s">
        <v>440</v>
      </c>
      <c r="B1563" s="784"/>
      <c r="C1563" s="784"/>
      <c r="D1563" s="784"/>
      <c r="E1563" s="784"/>
      <c r="F1563" s="784"/>
      <c r="G1563" s="440">
        <f>SUM(G1559)</f>
        <v>5.8</v>
      </c>
    </row>
    <row r="1564" spans="1:7" ht="12.75">
      <c r="A1564" s="783" t="s">
        <v>441</v>
      </c>
      <c r="B1564" s="784"/>
      <c r="C1564" s="784"/>
      <c r="D1564" s="784"/>
      <c r="E1564" s="784"/>
      <c r="F1564" s="784"/>
      <c r="G1564" s="440">
        <f>SUM(G1562:G1563)</f>
        <v>19.915</v>
      </c>
    </row>
    <row r="1565" spans="1:7" ht="12.75">
      <c r="A1565" s="783" t="s">
        <v>442</v>
      </c>
      <c r="B1565" s="784"/>
      <c r="C1565" s="784"/>
      <c r="D1565" s="784"/>
      <c r="E1565" s="784"/>
      <c r="F1565" s="784"/>
      <c r="G1565" s="440">
        <f>G1562*85.16%</f>
        <v>12.020333999999998</v>
      </c>
    </row>
    <row r="1566" spans="1:7" ht="12.75">
      <c r="A1566" s="783" t="s">
        <v>443</v>
      </c>
      <c r="B1566" s="784"/>
      <c r="C1566" s="784"/>
      <c r="D1566" s="784"/>
      <c r="E1566" s="784"/>
      <c r="F1566" s="784"/>
      <c r="G1566" s="440">
        <f>G1565</f>
        <v>12.020333999999998</v>
      </c>
    </row>
    <row r="1567" spans="1:7" ht="12.75">
      <c r="A1567" s="785" t="s">
        <v>444</v>
      </c>
      <c r="B1567" s="786"/>
      <c r="C1567" s="786"/>
      <c r="D1567" s="786"/>
      <c r="E1567" s="786"/>
      <c r="F1567" s="787"/>
      <c r="G1567" s="440">
        <f>G1563</f>
        <v>5.8</v>
      </c>
    </row>
    <row r="1568" spans="1:7" ht="12.75">
      <c r="A1568" s="785" t="s">
        <v>445</v>
      </c>
      <c r="B1568" s="786"/>
      <c r="C1568" s="786"/>
      <c r="D1568" s="786"/>
      <c r="E1568" s="786"/>
      <c r="F1568" s="787"/>
      <c r="G1568" s="440">
        <f>G1562+G1566</f>
        <v>26.135334</v>
      </c>
    </row>
    <row r="1569" spans="1:7" ht="12.75">
      <c r="A1569" s="785" t="s">
        <v>446</v>
      </c>
      <c r="B1569" s="786"/>
      <c r="C1569" s="786"/>
      <c r="D1569" s="786"/>
      <c r="E1569" s="786"/>
      <c r="F1569" s="787"/>
      <c r="G1569" s="440">
        <f>SUM(G1567:G1568)</f>
        <v>31.935334</v>
      </c>
    </row>
    <row r="1570" spans="1:7" ht="12.75">
      <c r="A1570" s="796"/>
      <c r="B1570" s="797"/>
      <c r="C1570" s="797"/>
      <c r="D1570" s="797"/>
      <c r="E1570" s="797"/>
      <c r="F1570" s="797"/>
      <c r="G1570" s="798"/>
    </row>
    <row r="1571" spans="1:7" ht="12.75">
      <c r="A1571" s="491" t="s">
        <v>83</v>
      </c>
      <c r="B1571" s="799" t="s">
        <v>782</v>
      </c>
      <c r="C1571" s="799"/>
      <c r="D1571" s="799"/>
      <c r="E1571" s="799"/>
      <c r="F1571" s="799"/>
      <c r="G1571" s="800"/>
    </row>
    <row r="1572" spans="1:7" ht="12.75">
      <c r="A1572" s="804"/>
      <c r="B1572" s="805"/>
      <c r="C1572" s="805"/>
      <c r="D1572" s="805"/>
      <c r="E1572" s="805"/>
      <c r="F1572" s="805"/>
      <c r="G1572" s="806"/>
    </row>
    <row r="1573" spans="1:7" ht="12.75">
      <c r="A1573" s="594"/>
      <c r="B1573" s="595"/>
      <c r="C1573" s="595"/>
      <c r="D1573" s="595"/>
      <c r="E1573" s="595"/>
      <c r="F1573" s="595"/>
      <c r="G1573" s="596"/>
    </row>
    <row r="1574" spans="1:7" ht="12.75">
      <c r="A1574" s="597" t="s">
        <v>1804</v>
      </c>
      <c r="B1574" s="801" t="s">
        <v>1805</v>
      </c>
      <c r="C1574" s="802"/>
      <c r="D1574" s="802"/>
      <c r="E1574" s="802"/>
      <c r="F1574" s="802"/>
      <c r="G1574" s="803"/>
    </row>
    <row r="1575" spans="1:7" ht="12.75">
      <c r="A1575" s="597" t="s">
        <v>1806</v>
      </c>
      <c r="B1575" s="597"/>
      <c r="C1575" s="597"/>
      <c r="D1575" s="595"/>
      <c r="E1575" s="595"/>
      <c r="F1575" s="595"/>
      <c r="G1575" s="596"/>
    </row>
    <row r="1576" spans="1:7" ht="25.5">
      <c r="A1576" s="171" t="s">
        <v>793</v>
      </c>
      <c r="B1576" s="182" t="s">
        <v>794</v>
      </c>
      <c r="C1576" s="172" t="s">
        <v>72</v>
      </c>
      <c r="D1576" s="172" t="s">
        <v>75</v>
      </c>
      <c r="E1576" s="373"/>
      <c r="F1576" s="374"/>
      <c r="G1576" s="375"/>
    </row>
    <row r="1577" spans="1:7" ht="51">
      <c r="A1577" s="173" t="s">
        <v>795</v>
      </c>
      <c r="B1577" s="174" t="s">
        <v>796</v>
      </c>
      <c r="C1577" s="175" t="s">
        <v>73</v>
      </c>
      <c r="D1577" s="175" t="s">
        <v>75</v>
      </c>
      <c r="E1577" s="434">
        <v>1</v>
      </c>
      <c r="F1577" s="435">
        <v>53.11</v>
      </c>
      <c r="G1577" s="436">
        <f>E1577*F1577</f>
        <v>53.11</v>
      </c>
    </row>
    <row r="1578" spans="1:7" ht="25.5">
      <c r="A1578" s="173" t="s">
        <v>457</v>
      </c>
      <c r="B1578" s="174" t="s">
        <v>458</v>
      </c>
      <c r="C1578" s="175" t="s">
        <v>72</v>
      </c>
      <c r="D1578" s="175" t="s">
        <v>77</v>
      </c>
      <c r="E1578" s="434">
        <v>0.4</v>
      </c>
      <c r="F1578" s="435">
        <v>12.97</v>
      </c>
      <c r="G1578" s="436">
        <f>E1578*F1578</f>
        <v>5.188000000000001</v>
      </c>
    </row>
    <row r="1579" spans="1:7" ht="25.5">
      <c r="A1579" s="173" t="s">
        <v>459</v>
      </c>
      <c r="B1579" s="174" t="s">
        <v>460</v>
      </c>
      <c r="C1579" s="175" t="s">
        <v>72</v>
      </c>
      <c r="D1579" s="175" t="s">
        <v>77</v>
      </c>
      <c r="E1579" s="434">
        <v>0.4</v>
      </c>
      <c r="F1579" s="435">
        <v>15.26</v>
      </c>
      <c r="G1579" s="436">
        <f>E1579*F1579</f>
        <v>6.104</v>
      </c>
    </row>
    <row r="1580" spans="1:7" ht="12.75">
      <c r="A1580" s="783" t="s">
        <v>439</v>
      </c>
      <c r="B1580" s="784"/>
      <c r="C1580" s="784"/>
      <c r="D1580" s="784"/>
      <c r="E1580" s="784"/>
      <c r="F1580" s="784"/>
      <c r="G1580" s="440">
        <f>SUM(G1578:G1579)</f>
        <v>11.292000000000002</v>
      </c>
    </row>
    <row r="1581" spans="1:7" ht="12.75">
      <c r="A1581" s="783" t="s">
        <v>440</v>
      </c>
      <c r="B1581" s="784"/>
      <c r="C1581" s="784"/>
      <c r="D1581" s="784"/>
      <c r="E1581" s="784"/>
      <c r="F1581" s="784"/>
      <c r="G1581" s="440">
        <f>SUM(G1577)</f>
        <v>53.11</v>
      </c>
    </row>
    <row r="1582" spans="1:7" ht="12.75">
      <c r="A1582" s="783" t="s">
        <v>441</v>
      </c>
      <c r="B1582" s="784"/>
      <c r="C1582" s="784"/>
      <c r="D1582" s="784"/>
      <c r="E1582" s="784"/>
      <c r="F1582" s="784"/>
      <c r="G1582" s="440">
        <f>SUM(G1580:G1581)</f>
        <v>64.402</v>
      </c>
    </row>
    <row r="1583" spans="1:7" ht="12.75">
      <c r="A1583" s="783" t="s">
        <v>442</v>
      </c>
      <c r="B1583" s="784"/>
      <c r="C1583" s="784"/>
      <c r="D1583" s="784"/>
      <c r="E1583" s="784"/>
      <c r="F1583" s="784"/>
      <c r="G1583" s="440">
        <f>G1580*85.16%</f>
        <v>9.616267200000001</v>
      </c>
    </row>
    <row r="1584" spans="1:7" ht="12.75">
      <c r="A1584" s="783" t="s">
        <v>443</v>
      </c>
      <c r="B1584" s="784"/>
      <c r="C1584" s="784"/>
      <c r="D1584" s="784"/>
      <c r="E1584" s="784"/>
      <c r="F1584" s="784"/>
      <c r="G1584" s="440">
        <f>G1583</f>
        <v>9.616267200000001</v>
      </c>
    </row>
    <row r="1585" spans="1:7" ht="12.75">
      <c r="A1585" s="785" t="s">
        <v>444</v>
      </c>
      <c r="B1585" s="786"/>
      <c r="C1585" s="786"/>
      <c r="D1585" s="786"/>
      <c r="E1585" s="786"/>
      <c r="F1585" s="787"/>
      <c r="G1585" s="440">
        <f>G1581</f>
        <v>53.11</v>
      </c>
    </row>
    <row r="1586" spans="1:7" ht="12.75">
      <c r="A1586" s="785" t="s">
        <v>445</v>
      </c>
      <c r="B1586" s="786"/>
      <c r="C1586" s="786"/>
      <c r="D1586" s="786"/>
      <c r="E1586" s="786"/>
      <c r="F1586" s="787"/>
      <c r="G1586" s="440">
        <f>G1580+G1584</f>
        <v>20.908267200000004</v>
      </c>
    </row>
    <row r="1587" spans="1:7" ht="12.75">
      <c r="A1587" s="785" t="s">
        <v>446</v>
      </c>
      <c r="B1587" s="786"/>
      <c r="C1587" s="786"/>
      <c r="D1587" s="786"/>
      <c r="E1587" s="786"/>
      <c r="F1587" s="787"/>
      <c r="G1587" s="440">
        <f>SUM(G1585:G1586)</f>
        <v>74.0182672</v>
      </c>
    </row>
    <row r="1588" spans="1:7" ht="12.75">
      <c r="A1588" s="796"/>
      <c r="B1588" s="797"/>
      <c r="C1588" s="797"/>
      <c r="D1588" s="797"/>
      <c r="E1588" s="797"/>
      <c r="F1588" s="797"/>
      <c r="G1588" s="798"/>
    </row>
    <row r="1589" spans="1:7" ht="12.75">
      <c r="A1589" s="491" t="s">
        <v>83</v>
      </c>
      <c r="B1589" s="799" t="s">
        <v>782</v>
      </c>
      <c r="C1589" s="799"/>
      <c r="D1589" s="799"/>
      <c r="E1589" s="799"/>
      <c r="F1589" s="799"/>
      <c r="G1589" s="800"/>
    </row>
    <row r="1590" spans="1:7" ht="12.75">
      <c r="A1590" s="804"/>
      <c r="B1590" s="805"/>
      <c r="C1590" s="805"/>
      <c r="D1590" s="805"/>
      <c r="E1590" s="805"/>
      <c r="F1590" s="805"/>
      <c r="G1590" s="806"/>
    </row>
    <row r="1591" spans="1:7" ht="12.75">
      <c r="A1591" s="594"/>
      <c r="B1591" s="595"/>
      <c r="C1591" s="595"/>
      <c r="D1591" s="595"/>
      <c r="E1591" s="595"/>
      <c r="F1591" s="595"/>
      <c r="G1591" s="596"/>
    </row>
    <row r="1592" spans="1:7" ht="12.75">
      <c r="A1592" s="594"/>
      <c r="B1592" s="595"/>
      <c r="C1592" s="595"/>
      <c r="D1592" s="595"/>
      <c r="E1592" s="595"/>
      <c r="F1592" s="595"/>
      <c r="G1592" s="596"/>
    </row>
    <row r="1593" spans="1:7" ht="12.75">
      <c r="A1593" s="597" t="s">
        <v>1491</v>
      </c>
      <c r="B1593" s="597" t="s">
        <v>221</v>
      </c>
      <c r="C1593" s="595"/>
      <c r="D1593" s="595"/>
      <c r="E1593" s="595"/>
      <c r="F1593" s="595"/>
      <c r="G1593" s="596"/>
    </row>
    <row r="1594" spans="1:7" ht="12.75">
      <c r="A1594" s="597" t="s">
        <v>1799</v>
      </c>
      <c r="B1594" s="597"/>
      <c r="C1594" s="595"/>
      <c r="D1594" s="595"/>
      <c r="E1594" s="595"/>
      <c r="F1594" s="595"/>
      <c r="G1594" s="596"/>
    </row>
    <row r="1595" spans="1:7" ht="76.5">
      <c r="A1595" s="171" t="s">
        <v>775</v>
      </c>
      <c r="B1595" s="182" t="s">
        <v>218</v>
      </c>
      <c r="C1595" s="172" t="s">
        <v>72</v>
      </c>
      <c r="D1595" s="172" t="s">
        <v>75</v>
      </c>
      <c r="E1595" s="373"/>
      <c r="F1595" s="374"/>
      <c r="G1595" s="375"/>
    </row>
    <row r="1596" spans="1:7" ht="25.5">
      <c r="A1596" s="173" t="s">
        <v>776</v>
      </c>
      <c r="B1596" s="174" t="s">
        <v>777</v>
      </c>
      <c r="C1596" s="175" t="s">
        <v>73</v>
      </c>
      <c r="D1596" s="175" t="s">
        <v>71</v>
      </c>
      <c r="E1596" s="434">
        <v>1.5</v>
      </c>
      <c r="F1596" s="435">
        <v>4.54</v>
      </c>
      <c r="G1596" s="436">
        <f>E1596*F1596</f>
        <v>6.8100000000000005</v>
      </c>
    </row>
    <row r="1597" spans="1:7" ht="25.5">
      <c r="A1597" s="173" t="s">
        <v>778</v>
      </c>
      <c r="B1597" s="174" t="s">
        <v>779</v>
      </c>
      <c r="C1597" s="175" t="s">
        <v>73</v>
      </c>
      <c r="D1597" s="175" t="s">
        <v>75</v>
      </c>
      <c r="E1597" s="434">
        <v>1</v>
      </c>
      <c r="F1597" s="435">
        <v>4.92</v>
      </c>
      <c r="G1597" s="436">
        <f>E1597*F1597</f>
        <v>4.92</v>
      </c>
    </row>
    <row r="1598" spans="1:7" ht="25.5">
      <c r="A1598" s="173" t="s">
        <v>780</v>
      </c>
      <c r="B1598" s="174" t="s">
        <v>781</v>
      </c>
      <c r="C1598" s="175" t="s">
        <v>73</v>
      </c>
      <c r="D1598" s="175" t="s">
        <v>75</v>
      </c>
      <c r="E1598" s="434">
        <v>1</v>
      </c>
      <c r="F1598" s="435">
        <v>3.12</v>
      </c>
      <c r="G1598" s="436">
        <f>E1598*F1598</f>
        <v>3.12</v>
      </c>
    </row>
    <row r="1599" spans="1:7" ht="25.5">
      <c r="A1599" s="173" t="s">
        <v>457</v>
      </c>
      <c r="B1599" s="174" t="s">
        <v>458</v>
      </c>
      <c r="C1599" s="175" t="s">
        <v>72</v>
      </c>
      <c r="D1599" s="175" t="s">
        <v>77</v>
      </c>
      <c r="E1599" s="434">
        <v>0.25</v>
      </c>
      <c r="F1599" s="435">
        <v>12.97</v>
      </c>
      <c r="G1599" s="436">
        <f>E1599*F1599</f>
        <v>3.2425</v>
      </c>
    </row>
    <row r="1600" spans="1:7" ht="25.5">
      <c r="A1600" s="173" t="s">
        <v>459</v>
      </c>
      <c r="B1600" s="174" t="s">
        <v>460</v>
      </c>
      <c r="C1600" s="175" t="s">
        <v>72</v>
      </c>
      <c r="D1600" s="175" t="s">
        <v>77</v>
      </c>
      <c r="E1600" s="434">
        <v>0.25</v>
      </c>
      <c r="F1600" s="435">
        <v>15.26</v>
      </c>
      <c r="G1600" s="436">
        <f>E1600*F1600</f>
        <v>3.815</v>
      </c>
    </row>
    <row r="1601" spans="1:7" ht="12.75">
      <c r="A1601" s="783" t="s">
        <v>439</v>
      </c>
      <c r="B1601" s="784"/>
      <c r="C1601" s="784"/>
      <c r="D1601" s="784"/>
      <c r="E1601" s="784"/>
      <c r="F1601" s="784"/>
      <c r="G1601" s="440">
        <f>SUM(G1599:G1600)</f>
        <v>7.0575</v>
      </c>
    </row>
    <row r="1602" spans="1:7" ht="12.75">
      <c r="A1602" s="783" t="s">
        <v>440</v>
      </c>
      <c r="B1602" s="784"/>
      <c r="C1602" s="784"/>
      <c r="D1602" s="784"/>
      <c r="E1602" s="784"/>
      <c r="F1602" s="784"/>
      <c r="G1602" s="440">
        <f>SUM(G1596:G1598)</f>
        <v>14.850000000000001</v>
      </c>
    </row>
    <row r="1603" spans="1:7" ht="12.75">
      <c r="A1603" s="783" t="s">
        <v>441</v>
      </c>
      <c r="B1603" s="784"/>
      <c r="C1603" s="784"/>
      <c r="D1603" s="784"/>
      <c r="E1603" s="784"/>
      <c r="F1603" s="784"/>
      <c r="G1603" s="440">
        <f>SUM(G1601:G1602)</f>
        <v>21.907500000000002</v>
      </c>
    </row>
    <row r="1604" spans="1:7" ht="12.75">
      <c r="A1604" s="783" t="s">
        <v>442</v>
      </c>
      <c r="B1604" s="784"/>
      <c r="C1604" s="784"/>
      <c r="D1604" s="784"/>
      <c r="E1604" s="784"/>
      <c r="F1604" s="784"/>
      <c r="G1604" s="440">
        <f>G1601*85.16%</f>
        <v>6.010166999999999</v>
      </c>
    </row>
    <row r="1605" spans="1:7" ht="12.75">
      <c r="A1605" s="783" t="s">
        <v>443</v>
      </c>
      <c r="B1605" s="784"/>
      <c r="C1605" s="784"/>
      <c r="D1605" s="784"/>
      <c r="E1605" s="784"/>
      <c r="F1605" s="784"/>
      <c r="G1605" s="440">
        <f>G1604</f>
        <v>6.010166999999999</v>
      </c>
    </row>
    <row r="1606" spans="1:7" ht="12.75">
      <c r="A1606" s="785" t="s">
        <v>444</v>
      </c>
      <c r="B1606" s="786"/>
      <c r="C1606" s="786"/>
      <c r="D1606" s="786"/>
      <c r="E1606" s="786"/>
      <c r="F1606" s="787"/>
      <c r="G1606" s="440">
        <f>G1602</f>
        <v>14.850000000000001</v>
      </c>
    </row>
    <row r="1607" spans="1:7" ht="12.75">
      <c r="A1607" s="785" t="s">
        <v>445</v>
      </c>
      <c r="B1607" s="786"/>
      <c r="C1607" s="786"/>
      <c r="D1607" s="786"/>
      <c r="E1607" s="786"/>
      <c r="F1607" s="787"/>
      <c r="G1607" s="440">
        <f>G1601+G1605</f>
        <v>13.067667</v>
      </c>
    </row>
    <row r="1608" spans="1:7" ht="12.75">
      <c r="A1608" s="785" t="s">
        <v>446</v>
      </c>
      <c r="B1608" s="786"/>
      <c r="C1608" s="786"/>
      <c r="D1608" s="786"/>
      <c r="E1608" s="786"/>
      <c r="F1608" s="787"/>
      <c r="G1608" s="440">
        <f>SUM(G1606:G1607)</f>
        <v>27.917667</v>
      </c>
    </row>
    <row r="1609" spans="1:7" ht="12.75">
      <c r="A1609" s="796"/>
      <c r="B1609" s="797"/>
      <c r="C1609" s="797"/>
      <c r="D1609" s="797"/>
      <c r="E1609" s="797"/>
      <c r="F1609" s="797"/>
      <c r="G1609" s="798"/>
    </row>
    <row r="1610" spans="1:7" ht="12.75">
      <c r="A1610" s="491" t="s">
        <v>83</v>
      </c>
      <c r="B1610" s="799" t="s">
        <v>782</v>
      </c>
      <c r="C1610" s="799"/>
      <c r="D1610" s="799"/>
      <c r="E1610" s="799"/>
      <c r="F1610" s="799"/>
      <c r="G1610" s="800"/>
    </row>
    <row r="1611" spans="1:7" ht="12.75">
      <c r="A1611" s="804"/>
      <c r="B1611" s="805"/>
      <c r="C1611" s="805"/>
      <c r="D1611" s="805"/>
      <c r="E1611" s="805"/>
      <c r="F1611" s="805"/>
      <c r="G1611" s="806"/>
    </row>
    <row r="1612" spans="1:7" ht="12.75">
      <c r="A1612" s="594"/>
      <c r="B1612" s="595"/>
      <c r="C1612" s="595"/>
      <c r="D1612" s="595"/>
      <c r="E1612" s="595"/>
      <c r="F1612" s="595"/>
      <c r="G1612" s="596"/>
    </row>
    <row r="1613" spans="1:7" ht="12.75">
      <c r="A1613" s="597" t="s">
        <v>1490</v>
      </c>
      <c r="B1613" s="597" t="s">
        <v>1493</v>
      </c>
      <c r="C1613" s="595"/>
      <c r="D1613" s="595"/>
      <c r="E1613" s="595"/>
      <c r="F1613" s="595"/>
      <c r="G1613" s="596"/>
    </row>
    <row r="1614" spans="1:7" ht="12.75">
      <c r="A1614" s="597" t="s">
        <v>1797</v>
      </c>
      <c r="B1614" s="597"/>
      <c r="C1614" s="595"/>
      <c r="D1614" s="595"/>
      <c r="E1614" s="595"/>
      <c r="F1614" s="595"/>
      <c r="G1614" s="596"/>
    </row>
    <row r="1615" spans="1:7" ht="51">
      <c r="A1615" s="171" t="s">
        <v>800</v>
      </c>
      <c r="B1615" s="182" t="s">
        <v>801</v>
      </c>
      <c r="C1615" s="172" t="s">
        <v>72</v>
      </c>
      <c r="D1615" s="172" t="s">
        <v>75</v>
      </c>
      <c r="E1615" s="373"/>
      <c r="F1615" s="374"/>
      <c r="G1615" s="375"/>
    </row>
    <row r="1616" spans="1:7" ht="25.5">
      <c r="A1616" s="173" t="s">
        <v>802</v>
      </c>
      <c r="B1616" s="174" t="s">
        <v>803</v>
      </c>
      <c r="C1616" s="175" t="s">
        <v>73</v>
      </c>
      <c r="D1616" s="175" t="s">
        <v>75</v>
      </c>
      <c r="E1616" s="434">
        <v>1</v>
      </c>
      <c r="F1616" s="435">
        <v>5.74</v>
      </c>
      <c r="G1616" s="436">
        <f>E1616*F1616</f>
        <v>5.74</v>
      </c>
    </row>
    <row r="1617" spans="1:7" ht="25.5">
      <c r="A1617" s="173" t="s">
        <v>457</v>
      </c>
      <c r="B1617" s="174" t="s">
        <v>458</v>
      </c>
      <c r="C1617" s="175" t="s">
        <v>72</v>
      </c>
      <c r="D1617" s="175" t="s">
        <v>77</v>
      </c>
      <c r="E1617" s="434">
        <v>0.225</v>
      </c>
      <c r="F1617" s="435">
        <v>12.97</v>
      </c>
      <c r="G1617" s="436">
        <f>E1617*F1617</f>
        <v>2.91825</v>
      </c>
    </row>
    <row r="1618" spans="1:7" ht="25.5">
      <c r="A1618" s="173" t="s">
        <v>459</v>
      </c>
      <c r="B1618" s="174" t="s">
        <v>460</v>
      </c>
      <c r="C1618" s="175" t="s">
        <v>72</v>
      </c>
      <c r="D1618" s="175" t="s">
        <v>77</v>
      </c>
      <c r="E1618" s="434">
        <v>0.225</v>
      </c>
      <c r="F1618" s="435">
        <v>15.26</v>
      </c>
      <c r="G1618" s="436">
        <f>E1618*F1618</f>
        <v>3.4335</v>
      </c>
    </row>
    <row r="1619" spans="1:7" ht="12.75">
      <c r="A1619" s="783" t="s">
        <v>439</v>
      </c>
      <c r="B1619" s="784"/>
      <c r="C1619" s="784"/>
      <c r="D1619" s="784"/>
      <c r="E1619" s="784"/>
      <c r="F1619" s="784"/>
      <c r="G1619" s="440">
        <f>SUM(G1617:G1618)</f>
        <v>6.35175</v>
      </c>
    </row>
    <row r="1620" spans="1:7" ht="12.75">
      <c r="A1620" s="783" t="s">
        <v>440</v>
      </c>
      <c r="B1620" s="784"/>
      <c r="C1620" s="784"/>
      <c r="D1620" s="784"/>
      <c r="E1620" s="784"/>
      <c r="F1620" s="784"/>
      <c r="G1620" s="440">
        <f>SUM(G1616)</f>
        <v>5.74</v>
      </c>
    </row>
    <row r="1621" spans="1:7" ht="12.75">
      <c r="A1621" s="783" t="s">
        <v>441</v>
      </c>
      <c r="B1621" s="784"/>
      <c r="C1621" s="784"/>
      <c r="D1621" s="784"/>
      <c r="E1621" s="784"/>
      <c r="F1621" s="784"/>
      <c r="G1621" s="440">
        <f>SUM(G1619:G1620)</f>
        <v>12.091750000000001</v>
      </c>
    </row>
    <row r="1622" spans="1:7" ht="12.75">
      <c r="A1622" s="783" t="s">
        <v>442</v>
      </c>
      <c r="B1622" s="784"/>
      <c r="C1622" s="784"/>
      <c r="D1622" s="784"/>
      <c r="E1622" s="784"/>
      <c r="F1622" s="784"/>
      <c r="G1622" s="440">
        <f>G1619*85.16%</f>
        <v>5.409150299999999</v>
      </c>
    </row>
    <row r="1623" spans="1:7" ht="12.75">
      <c r="A1623" s="783" t="s">
        <v>443</v>
      </c>
      <c r="B1623" s="784"/>
      <c r="C1623" s="784"/>
      <c r="D1623" s="784"/>
      <c r="E1623" s="784"/>
      <c r="F1623" s="784"/>
      <c r="G1623" s="440">
        <f>G1622</f>
        <v>5.409150299999999</v>
      </c>
    </row>
    <row r="1624" spans="1:7" ht="12.75">
      <c r="A1624" s="785" t="s">
        <v>444</v>
      </c>
      <c r="B1624" s="786"/>
      <c r="C1624" s="786"/>
      <c r="D1624" s="786"/>
      <c r="E1624" s="786"/>
      <c r="F1624" s="787"/>
      <c r="G1624" s="440">
        <f>G1620</f>
        <v>5.74</v>
      </c>
    </row>
    <row r="1625" spans="1:7" ht="12.75">
      <c r="A1625" s="785" t="s">
        <v>445</v>
      </c>
      <c r="B1625" s="786"/>
      <c r="C1625" s="786"/>
      <c r="D1625" s="786"/>
      <c r="E1625" s="786"/>
      <c r="F1625" s="787"/>
      <c r="G1625" s="440">
        <f>G1619+G1623</f>
        <v>11.7609003</v>
      </c>
    </row>
    <row r="1626" spans="1:7" ht="12.75">
      <c r="A1626" s="785" t="s">
        <v>446</v>
      </c>
      <c r="B1626" s="786"/>
      <c r="C1626" s="786"/>
      <c r="D1626" s="786"/>
      <c r="E1626" s="786"/>
      <c r="F1626" s="787"/>
      <c r="G1626" s="440">
        <f>SUM(G1624:G1625)</f>
        <v>17.500900299999998</v>
      </c>
    </row>
    <row r="1627" spans="1:7" ht="12.75">
      <c r="A1627" s="796"/>
      <c r="B1627" s="797"/>
      <c r="C1627" s="797"/>
      <c r="D1627" s="797"/>
      <c r="E1627" s="797"/>
      <c r="F1627" s="797"/>
      <c r="G1627" s="798"/>
    </row>
    <row r="1628" spans="1:7" ht="12.75">
      <c r="A1628" s="597" t="s">
        <v>1798</v>
      </c>
      <c r="B1628" s="595"/>
      <c r="C1628" s="595"/>
      <c r="D1628" s="595"/>
      <c r="E1628" s="595"/>
      <c r="F1628" s="595"/>
      <c r="G1628" s="596"/>
    </row>
    <row r="1629" spans="1:7" ht="51">
      <c r="A1629" s="171" t="s">
        <v>804</v>
      </c>
      <c r="B1629" s="182" t="s">
        <v>805</v>
      </c>
      <c r="C1629" s="172" t="s">
        <v>72</v>
      </c>
      <c r="D1629" s="172" t="s">
        <v>75</v>
      </c>
      <c r="E1629" s="373"/>
      <c r="F1629" s="374"/>
      <c r="G1629" s="375"/>
    </row>
    <row r="1630" spans="1:7" ht="63.75">
      <c r="A1630" s="173" t="s">
        <v>806</v>
      </c>
      <c r="B1630" s="174" t="s">
        <v>807</v>
      </c>
      <c r="C1630" s="175" t="s">
        <v>72</v>
      </c>
      <c r="D1630" s="175" t="s">
        <v>75</v>
      </c>
      <c r="E1630" s="434">
        <v>1</v>
      </c>
      <c r="F1630" s="435">
        <v>5.58</v>
      </c>
      <c r="G1630" s="436">
        <f>E1630*F1630</f>
        <v>5.58</v>
      </c>
    </row>
    <row r="1631" spans="1:7" ht="51">
      <c r="A1631" s="173" t="s">
        <v>808</v>
      </c>
      <c r="B1631" s="174" t="s">
        <v>801</v>
      </c>
      <c r="C1631" s="175" t="s">
        <v>72</v>
      </c>
      <c r="D1631" s="175" t="s">
        <v>75</v>
      </c>
      <c r="E1631" s="434">
        <v>1</v>
      </c>
      <c r="F1631" s="435">
        <v>12.09</v>
      </c>
      <c r="G1631" s="436">
        <f>E1631*F1631</f>
        <v>12.09</v>
      </c>
    </row>
    <row r="1632" spans="1:7" ht="12.75">
      <c r="A1632" s="783" t="s">
        <v>439</v>
      </c>
      <c r="B1632" s="784"/>
      <c r="C1632" s="784"/>
      <c r="D1632" s="784"/>
      <c r="E1632" s="784"/>
      <c r="F1632" s="784"/>
      <c r="G1632" s="440">
        <f>0</f>
        <v>0</v>
      </c>
    </row>
    <row r="1633" spans="1:7" ht="12.75">
      <c r="A1633" s="783" t="s">
        <v>440</v>
      </c>
      <c r="B1633" s="784"/>
      <c r="C1633" s="784"/>
      <c r="D1633" s="784"/>
      <c r="E1633" s="784"/>
      <c r="F1633" s="784"/>
      <c r="G1633" s="440">
        <f>SUM(G1630:G1631)</f>
        <v>17.67</v>
      </c>
    </row>
    <row r="1634" spans="1:7" ht="12.75">
      <c r="A1634" s="783" t="s">
        <v>441</v>
      </c>
      <c r="B1634" s="784"/>
      <c r="C1634" s="784"/>
      <c r="D1634" s="784"/>
      <c r="E1634" s="784"/>
      <c r="F1634" s="784"/>
      <c r="G1634" s="440">
        <f>SUM(G1632:G1633)</f>
        <v>17.67</v>
      </c>
    </row>
    <row r="1635" spans="1:7" ht="12.75">
      <c r="A1635" s="783" t="s">
        <v>442</v>
      </c>
      <c r="B1635" s="784"/>
      <c r="C1635" s="784"/>
      <c r="D1635" s="784"/>
      <c r="E1635" s="784"/>
      <c r="F1635" s="784"/>
      <c r="G1635" s="440">
        <f>G1632*85.16%</f>
        <v>0</v>
      </c>
    </row>
    <row r="1636" spans="1:7" ht="12.75">
      <c r="A1636" s="783" t="s">
        <v>443</v>
      </c>
      <c r="B1636" s="784"/>
      <c r="C1636" s="784"/>
      <c r="D1636" s="784"/>
      <c r="E1636" s="784"/>
      <c r="F1636" s="784"/>
      <c r="G1636" s="440">
        <f>G1635</f>
        <v>0</v>
      </c>
    </row>
    <row r="1637" spans="1:7" ht="12.75">
      <c r="A1637" s="785" t="s">
        <v>444</v>
      </c>
      <c r="B1637" s="786"/>
      <c r="C1637" s="786"/>
      <c r="D1637" s="786"/>
      <c r="E1637" s="786"/>
      <c r="F1637" s="787"/>
      <c r="G1637" s="440">
        <f>G1633</f>
        <v>17.67</v>
      </c>
    </row>
    <row r="1638" spans="1:7" ht="12.75">
      <c r="A1638" s="785" t="s">
        <v>445</v>
      </c>
      <c r="B1638" s="786"/>
      <c r="C1638" s="786"/>
      <c r="D1638" s="786"/>
      <c r="E1638" s="786"/>
      <c r="F1638" s="787"/>
      <c r="G1638" s="440">
        <f>G1632+G1636</f>
        <v>0</v>
      </c>
    </row>
    <row r="1639" spans="1:7" ht="12.75">
      <c r="A1639" s="785" t="s">
        <v>446</v>
      </c>
      <c r="B1639" s="786"/>
      <c r="C1639" s="786"/>
      <c r="D1639" s="786"/>
      <c r="E1639" s="786"/>
      <c r="F1639" s="787"/>
      <c r="G1639" s="440">
        <f>SUM(G1637:G1638)</f>
        <v>17.67</v>
      </c>
    </row>
    <row r="1640" spans="1:7" ht="12.75">
      <c r="A1640" s="796"/>
      <c r="B1640" s="797"/>
      <c r="C1640" s="797"/>
      <c r="D1640" s="797"/>
      <c r="E1640" s="797"/>
      <c r="F1640" s="797"/>
      <c r="G1640" s="798"/>
    </row>
    <row r="1641" spans="1:7" ht="12.75">
      <c r="A1641" s="597" t="s">
        <v>1491</v>
      </c>
      <c r="B1641" s="597" t="s">
        <v>221</v>
      </c>
      <c r="C1641" s="597"/>
      <c r="D1641" s="597"/>
      <c r="E1641" s="597"/>
      <c r="F1641" s="597"/>
      <c r="G1641" s="597"/>
    </row>
    <row r="1642" spans="1:7" ht="12.75">
      <c r="A1642" s="597" t="s">
        <v>1799</v>
      </c>
      <c r="B1642" s="597"/>
      <c r="C1642" s="597"/>
      <c r="D1642" s="597"/>
      <c r="E1642" s="597"/>
      <c r="F1642" s="597"/>
      <c r="G1642" s="597"/>
    </row>
    <row r="1643" spans="1:7" ht="51">
      <c r="A1643" s="171" t="s">
        <v>809</v>
      </c>
      <c r="B1643" s="182" t="s">
        <v>810</v>
      </c>
      <c r="C1643" s="172" t="s">
        <v>72</v>
      </c>
      <c r="D1643" s="172" t="s">
        <v>75</v>
      </c>
      <c r="E1643" s="373"/>
      <c r="F1643" s="374"/>
      <c r="G1643" s="375"/>
    </row>
    <row r="1644" spans="1:7" ht="25.5">
      <c r="A1644" s="173" t="s">
        <v>811</v>
      </c>
      <c r="B1644" s="174" t="s">
        <v>812</v>
      </c>
      <c r="C1644" s="175" t="s">
        <v>73</v>
      </c>
      <c r="D1644" s="175" t="s">
        <v>75</v>
      </c>
      <c r="E1644" s="434">
        <v>1</v>
      </c>
      <c r="F1644" s="435">
        <v>8.36</v>
      </c>
      <c r="G1644" s="436">
        <f>E1644*F1644</f>
        <v>8.36</v>
      </c>
    </row>
    <row r="1645" spans="1:7" ht="25.5">
      <c r="A1645" s="173" t="s">
        <v>457</v>
      </c>
      <c r="B1645" s="174" t="s">
        <v>458</v>
      </c>
      <c r="C1645" s="175" t="s">
        <v>72</v>
      </c>
      <c r="D1645" s="175" t="s">
        <v>77</v>
      </c>
      <c r="E1645" s="434">
        <v>0.496</v>
      </c>
      <c r="F1645" s="435">
        <v>12.97</v>
      </c>
      <c r="G1645" s="436">
        <f>E1645*F1645</f>
        <v>6.433120000000001</v>
      </c>
    </row>
    <row r="1646" spans="1:7" ht="25.5">
      <c r="A1646" s="173" t="s">
        <v>459</v>
      </c>
      <c r="B1646" s="174" t="s">
        <v>460</v>
      </c>
      <c r="C1646" s="175" t="s">
        <v>72</v>
      </c>
      <c r="D1646" s="175" t="s">
        <v>77</v>
      </c>
      <c r="E1646" s="434">
        <v>0.496</v>
      </c>
      <c r="F1646" s="435">
        <v>15.26</v>
      </c>
      <c r="G1646" s="436">
        <f>E1646*F1646</f>
        <v>7.56896</v>
      </c>
    </row>
    <row r="1647" spans="1:7" ht="12.75">
      <c r="A1647" s="783" t="s">
        <v>439</v>
      </c>
      <c r="B1647" s="784"/>
      <c r="C1647" s="784"/>
      <c r="D1647" s="784"/>
      <c r="E1647" s="784"/>
      <c r="F1647" s="784"/>
      <c r="G1647" s="440">
        <f>SUM(G1645:G1646)</f>
        <v>14.00208</v>
      </c>
    </row>
    <row r="1648" spans="1:7" ht="12.75">
      <c r="A1648" s="783" t="s">
        <v>440</v>
      </c>
      <c r="B1648" s="784"/>
      <c r="C1648" s="784"/>
      <c r="D1648" s="784"/>
      <c r="E1648" s="784"/>
      <c r="F1648" s="784"/>
      <c r="G1648" s="440">
        <f>SUM(G1644)</f>
        <v>8.36</v>
      </c>
    </row>
    <row r="1649" spans="1:7" ht="12.75">
      <c r="A1649" s="783" t="s">
        <v>441</v>
      </c>
      <c r="B1649" s="784"/>
      <c r="C1649" s="784"/>
      <c r="D1649" s="784"/>
      <c r="E1649" s="784"/>
      <c r="F1649" s="784"/>
      <c r="G1649" s="440">
        <f>SUM(G1647:G1648)</f>
        <v>22.36208</v>
      </c>
    </row>
    <row r="1650" spans="1:7" ht="12.75">
      <c r="A1650" s="783" t="s">
        <v>442</v>
      </c>
      <c r="B1650" s="784"/>
      <c r="C1650" s="784"/>
      <c r="D1650" s="784"/>
      <c r="E1650" s="784"/>
      <c r="F1650" s="784"/>
      <c r="G1650" s="440">
        <f>G1647*85.16%</f>
        <v>11.924171327999998</v>
      </c>
    </row>
    <row r="1651" spans="1:7" ht="12.75">
      <c r="A1651" s="783" t="s">
        <v>443</v>
      </c>
      <c r="B1651" s="784"/>
      <c r="C1651" s="784"/>
      <c r="D1651" s="784"/>
      <c r="E1651" s="784"/>
      <c r="F1651" s="784"/>
      <c r="G1651" s="440">
        <f>G1650</f>
        <v>11.924171327999998</v>
      </c>
    </row>
    <row r="1652" spans="1:7" ht="12.75">
      <c r="A1652" s="785" t="s">
        <v>444</v>
      </c>
      <c r="B1652" s="786"/>
      <c r="C1652" s="786"/>
      <c r="D1652" s="786"/>
      <c r="E1652" s="786"/>
      <c r="F1652" s="787"/>
      <c r="G1652" s="440">
        <f>G1648</f>
        <v>8.36</v>
      </c>
    </row>
    <row r="1653" spans="1:7" ht="12.75">
      <c r="A1653" s="785" t="s">
        <v>445</v>
      </c>
      <c r="B1653" s="786"/>
      <c r="C1653" s="786"/>
      <c r="D1653" s="786"/>
      <c r="E1653" s="786"/>
      <c r="F1653" s="787"/>
      <c r="G1653" s="440">
        <f>G1647+G1651</f>
        <v>25.926251328</v>
      </c>
    </row>
    <row r="1654" spans="1:7" ht="12.75">
      <c r="A1654" s="785" t="s">
        <v>446</v>
      </c>
      <c r="B1654" s="786"/>
      <c r="C1654" s="786"/>
      <c r="D1654" s="786"/>
      <c r="E1654" s="786"/>
      <c r="F1654" s="787"/>
      <c r="G1654" s="440">
        <f>SUM(G1652:G1653)</f>
        <v>34.286251328</v>
      </c>
    </row>
    <row r="1655" spans="1:7" ht="12.75">
      <c r="A1655" s="796"/>
      <c r="B1655" s="797"/>
      <c r="C1655" s="797"/>
      <c r="D1655" s="797"/>
      <c r="E1655" s="797"/>
      <c r="F1655" s="797"/>
      <c r="G1655" s="798"/>
    </row>
    <row r="1656" spans="1:7" ht="11.25" customHeight="1">
      <c r="A1656" s="597" t="s">
        <v>1804</v>
      </c>
      <c r="B1656" s="801" t="s">
        <v>1805</v>
      </c>
      <c r="C1656" s="802"/>
      <c r="D1656" s="802"/>
      <c r="E1656" s="802"/>
      <c r="F1656" s="802"/>
      <c r="G1656" s="830"/>
    </row>
    <row r="1657" spans="1:7" ht="11.25" customHeight="1">
      <c r="A1657" s="597" t="s">
        <v>1807</v>
      </c>
      <c r="B1657" s="597"/>
      <c r="C1657" s="597"/>
      <c r="D1657" s="597"/>
      <c r="E1657" s="597"/>
      <c r="F1657" s="597"/>
      <c r="G1657" s="597"/>
    </row>
    <row r="1658" spans="1:7" ht="38.25">
      <c r="A1658" s="171" t="s">
        <v>882</v>
      </c>
      <c r="B1658" s="182" t="s">
        <v>223</v>
      </c>
      <c r="C1658" s="172" t="s">
        <v>72</v>
      </c>
      <c r="D1658" s="172" t="s">
        <v>75</v>
      </c>
      <c r="E1658" s="373"/>
      <c r="F1658" s="374"/>
      <c r="G1658" s="375"/>
    </row>
    <row r="1659" spans="1:7" ht="51">
      <c r="A1659" s="437" t="s">
        <v>537</v>
      </c>
      <c r="B1659" s="438" t="s">
        <v>538</v>
      </c>
      <c r="C1659" s="439" t="s">
        <v>73</v>
      </c>
      <c r="D1659" s="439" t="s">
        <v>75</v>
      </c>
      <c r="E1659" s="434">
        <v>8</v>
      </c>
      <c r="F1659" s="435">
        <v>0.31</v>
      </c>
      <c r="G1659" s="436">
        <f>E1659*F1659</f>
        <v>2.48</v>
      </c>
    </row>
    <row r="1660" spans="1:7" ht="25.5">
      <c r="A1660" s="437" t="s">
        <v>883</v>
      </c>
      <c r="B1660" s="438" t="s">
        <v>884</v>
      </c>
      <c r="C1660" s="439" t="s">
        <v>73</v>
      </c>
      <c r="D1660" s="439" t="s">
        <v>75</v>
      </c>
      <c r="E1660" s="434">
        <v>1</v>
      </c>
      <c r="F1660" s="435">
        <v>750</v>
      </c>
      <c r="G1660" s="436">
        <f>E1660*F1660</f>
        <v>750</v>
      </c>
    </row>
    <row r="1661" spans="1:7" ht="25.5">
      <c r="A1661" s="437" t="s">
        <v>457</v>
      </c>
      <c r="B1661" s="438" t="s">
        <v>458</v>
      </c>
      <c r="C1661" s="439" t="s">
        <v>72</v>
      </c>
      <c r="D1661" s="439" t="s">
        <v>77</v>
      </c>
      <c r="E1661" s="434">
        <v>1.5</v>
      </c>
      <c r="F1661" s="435">
        <v>12.97</v>
      </c>
      <c r="G1661" s="436">
        <f>E1661*F1661</f>
        <v>19.455000000000002</v>
      </c>
    </row>
    <row r="1662" spans="1:7" ht="25.5">
      <c r="A1662" s="437" t="s">
        <v>459</v>
      </c>
      <c r="B1662" s="438" t="s">
        <v>460</v>
      </c>
      <c r="C1662" s="439" t="s">
        <v>72</v>
      </c>
      <c r="D1662" s="439" t="s">
        <v>77</v>
      </c>
      <c r="E1662" s="434">
        <v>1.5</v>
      </c>
      <c r="F1662" s="435">
        <v>15.26</v>
      </c>
      <c r="G1662" s="436">
        <f>E1662*F1662</f>
        <v>22.89</v>
      </c>
    </row>
    <row r="1663" spans="1:7" ht="38.25">
      <c r="A1663" s="437" t="s">
        <v>885</v>
      </c>
      <c r="B1663" s="438" t="s">
        <v>886</v>
      </c>
      <c r="C1663" s="439" t="s">
        <v>72</v>
      </c>
      <c r="D1663" s="439" t="s">
        <v>75</v>
      </c>
      <c r="E1663" s="434">
        <v>8</v>
      </c>
      <c r="F1663" s="435">
        <v>2.74</v>
      </c>
      <c r="G1663" s="436">
        <f>E1663*F1663</f>
        <v>21.92</v>
      </c>
    </row>
    <row r="1664" spans="1:7" ht="12.75">
      <c r="A1664" s="826" t="s">
        <v>439</v>
      </c>
      <c r="B1664" s="827"/>
      <c r="C1664" s="827"/>
      <c r="D1664" s="827"/>
      <c r="E1664" s="827"/>
      <c r="F1664" s="827"/>
      <c r="G1664" s="440">
        <f>SUM(G1661:G1662)</f>
        <v>42.345</v>
      </c>
    </row>
    <row r="1665" spans="1:7" ht="12.75">
      <c r="A1665" s="783" t="s">
        <v>440</v>
      </c>
      <c r="B1665" s="784"/>
      <c r="C1665" s="784"/>
      <c r="D1665" s="784"/>
      <c r="E1665" s="784"/>
      <c r="F1665" s="784"/>
      <c r="G1665" s="440">
        <f>SUM(G1659:G1660)+G1663</f>
        <v>774.4</v>
      </c>
    </row>
    <row r="1666" spans="1:7" ht="12.75">
      <c r="A1666" s="783" t="s">
        <v>441</v>
      </c>
      <c r="B1666" s="784"/>
      <c r="C1666" s="784"/>
      <c r="D1666" s="784"/>
      <c r="E1666" s="784"/>
      <c r="F1666" s="784"/>
      <c r="G1666" s="440">
        <f>SUM(G1664:G1665)</f>
        <v>816.745</v>
      </c>
    </row>
    <row r="1667" spans="1:7" ht="12.75">
      <c r="A1667" s="783" t="s">
        <v>442</v>
      </c>
      <c r="B1667" s="784"/>
      <c r="C1667" s="784"/>
      <c r="D1667" s="784"/>
      <c r="E1667" s="784"/>
      <c r="F1667" s="784"/>
      <c r="G1667" s="440">
        <f>G1664*85.16%</f>
        <v>36.061001999999995</v>
      </c>
    </row>
    <row r="1668" spans="1:7" ht="12.75">
      <c r="A1668" s="783" t="s">
        <v>443</v>
      </c>
      <c r="B1668" s="784"/>
      <c r="C1668" s="784"/>
      <c r="D1668" s="784"/>
      <c r="E1668" s="784"/>
      <c r="F1668" s="784"/>
      <c r="G1668" s="440">
        <f>G1667</f>
        <v>36.061001999999995</v>
      </c>
    </row>
    <row r="1669" spans="1:7" ht="12.75">
      <c r="A1669" s="785" t="s">
        <v>444</v>
      </c>
      <c r="B1669" s="786"/>
      <c r="C1669" s="786"/>
      <c r="D1669" s="786"/>
      <c r="E1669" s="786"/>
      <c r="F1669" s="787"/>
      <c r="G1669" s="440">
        <f>G1665</f>
        <v>774.4</v>
      </c>
    </row>
    <row r="1670" spans="1:7" ht="12.75">
      <c r="A1670" s="785" t="s">
        <v>445</v>
      </c>
      <c r="B1670" s="786"/>
      <c r="C1670" s="786"/>
      <c r="D1670" s="786"/>
      <c r="E1670" s="786"/>
      <c r="F1670" s="787"/>
      <c r="G1670" s="440">
        <f>G1664+G1668</f>
        <v>78.406002</v>
      </c>
    </row>
    <row r="1671" spans="1:7" ht="12.75">
      <c r="A1671" s="785" t="s">
        <v>446</v>
      </c>
      <c r="B1671" s="786"/>
      <c r="C1671" s="786"/>
      <c r="D1671" s="786"/>
      <c r="E1671" s="786"/>
      <c r="F1671" s="787"/>
      <c r="G1671" s="440">
        <f>SUM(G1669:G1670)</f>
        <v>852.806002</v>
      </c>
    </row>
    <row r="1672" spans="1:7" ht="12.75">
      <c r="A1672" s="491" t="s">
        <v>83</v>
      </c>
      <c r="B1672" s="799" t="s">
        <v>887</v>
      </c>
      <c r="C1672" s="799"/>
      <c r="D1672" s="799"/>
      <c r="E1672" s="799"/>
      <c r="F1672" s="799"/>
      <c r="G1672" s="800"/>
    </row>
    <row r="1673" spans="1:7" ht="12.75">
      <c r="A1673" s="804"/>
      <c r="B1673" s="805"/>
      <c r="C1673" s="805"/>
      <c r="D1673" s="805"/>
      <c r="E1673" s="805"/>
      <c r="F1673" s="805"/>
      <c r="G1673" s="806"/>
    </row>
    <row r="1674" spans="1:7" ht="12.75">
      <c r="A1674" s="597" t="s">
        <v>1495</v>
      </c>
      <c r="B1674" s="597" t="s">
        <v>1494</v>
      </c>
      <c r="C1674" s="595"/>
      <c r="D1674" s="595"/>
      <c r="E1674" s="595"/>
      <c r="F1674" s="595"/>
      <c r="G1674" s="596"/>
    </row>
    <row r="1675" spans="1:7" ht="12.75">
      <c r="A1675" s="597" t="s">
        <v>1496</v>
      </c>
      <c r="B1675" s="597" t="s">
        <v>1781</v>
      </c>
      <c r="C1675" s="595"/>
      <c r="D1675" s="595"/>
      <c r="E1675" s="595"/>
      <c r="F1675" s="595"/>
      <c r="G1675" s="596"/>
    </row>
    <row r="1676" spans="1:7" ht="12.75">
      <c r="A1676" s="597" t="s">
        <v>1782</v>
      </c>
      <c r="B1676" s="597"/>
      <c r="C1676" s="595"/>
      <c r="D1676" s="595"/>
      <c r="E1676" s="595"/>
      <c r="F1676" s="595"/>
      <c r="G1676" s="596"/>
    </row>
    <row r="1677" spans="1:7" ht="76.5">
      <c r="A1677" s="171" t="s">
        <v>848</v>
      </c>
      <c r="B1677" s="182" t="s">
        <v>849</v>
      </c>
      <c r="C1677" s="172" t="s">
        <v>72</v>
      </c>
      <c r="D1677" s="172" t="s">
        <v>75</v>
      </c>
      <c r="E1677" s="373"/>
      <c r="F1677" s="374"/>
      <c r="G1677" s="375"/>
    </row>
    <row r="1678" spans="1:7" ht="63.75">
      <c r="A1678" s="173" t="s">
        <v>850</v>
      </c>
      <c r="B1678" s="174" t="s">
        <v>224</v>
      </c>
      <c r="C1678" s="175" t="s">
        <v>73</v>
      </c>
      <c r="D1678" s="175" t="s">
        <v>75</v>
      </c>
      <c r="E1678" s="434">
        <v>1</v>
      </c>
      <c r="F1678" s="435">
        <v>2738.4</v>
      </c>
      <c r="G1678" s="436">
        <f>E1678*F1678</f>
        <v>2738.4</v>
      </c>
    </row>
    <row r="1679" spans="1:7" ht="25.5">
      <c r="A1679" s="173" t="s">
        <v>457</v>
      </c>
      <c r="B1679" s="174" t="s">
        <v>458</v>
      </c>
      <c r="C1679" s="175" t="s">
        <v>72</v>
      </c>
      <c r="D1679" s="175" t="s">
        <v>77</v>
      </c>
      <c r="E1679" s="434">
        <v>3.5</v>
      </c>
      <c r="F1679" s="435">
        <v>12.97</v>
      </c>
      <c r="G1679" s="436">
        <f>E1679*F1679</f>
        <v>45.395</v>
      </c>
    </row>
    <row r="1680" spans="1:7" ht="25.5">
      <c r="A1680" s="173" t="s">
        <v>459</v>
      </c>
      <c r="B1680" s="174" t="s">
        <v>460</v>
      </c>
      <c r="C1680" s="175" t="s">
        <v>72</v>
      </c>
      <c r="D1680" s="175" t="s">
        <v>77</v>
      </c>
      <c r="E1680" s="434">
        <v>3.5</v>
      </c>
      <c r="F1680" s="435">
        <v>15.26</v>
      </c>
      <c r="G1680" s="436">
        <f>E1680*F1680</f>
        <v>53.41</v>
      </c>
    </row>
    <row r="1681" spans="1:7" ht="12.75">
      <c r="A1681" s="783" t="s">
        <v>439</v>
      </c>
      <c r="B1681" s="784"/>
      <c r="C1681" s="784"/>
      <c r="D1681" s="784"/>
      <c r="E1681" s="784"/>
      <c r="F1681" s="784"/>
      <c r="G1681" s="440">
        <f>SUM(G1679:G1680)</f>
        <v>98.805</v>
      </c>
    </row>
    <row r="1682" spans="1:7" ht="12.75">
      <c r="A1682" s="783" t="s">
        <v>440</v>
      </c>
      <c r="B1682" s="784"/>
      <c r="C1682" s="784"/>
      <c r="D1682" s="784"/>
      <c r="E1682" s="784"/>
      <c r="F1682" s="784"/>
      <c r="G1682" s="440">
        <f>SUM(G1678)</f>
        <v>2738.4</v>
      </c>
    </row>
    <row r="1683" spans="1:7" ht="12.75">
      <c r="A1683" s="783" t="s">
        <v>441</v>
      </c>
      <c r="B1683" s="784"/>
      <c r="C1683" s="784"/>
      <c r="D1683" s="784"/>
      <c r="E1683" s="784"/>
      <c r="F1683" s="784"/>
      <c r="G1683" s="440">
        <f>SUM(G1681:G1682)</f>
        <v>2837.205</v>
      </c>
    </row>
    <row r="1684" spans="1:7" ht="12.75">
      <c r="A1684" s="783" t="s">
        <v>442</v>
      </c>
      <c r="B1684" s="784"/>
      <c r="C1684" s="784"/>
      <c r="D1684" s="784"/>
      <c r="E1684" s="784"/>
      <c r="F1684" s="784"/>
      <c r="G1684" s="440">
        <f>G1681*85.16%</f>
        <v>84.142338</v>
      </c>
    </row>
    <row r="1685" spans="1:7" ht="12.75">
      <c r="A1685" s="783" t="s">
        <v>443</v>
      </c>
      <c r="B1685" s="784"/>
      <c r="C1685" s="784"/>
      <c r="D1685" s="784"/>
      <c r="E1685" s="784"/>
      <c r="F1685" s="784"/>
      <c r="G1685" s="440">
        <f>G1684</f>
        <v>84.142338</v>
      </c>
    </row>
    <row r="1686" spans="1:7" ht="12.75">
      <c r="A1686" s="785" t="s">
        <v>444</v>
      </c>
      <c r="B1686" s="786"/>
      <c r="C1686" s="786"/>
      <c r="D1686" s="786"/>
      <c r="E1686" s="786"/>
      <c r="F1686" s="787"/>
      <c r="G1686" s="440">
        <f>G1682</f>
        <v>2738.4</v>
      </c>
    </row>
    <row r="1687" spans="1:7" ht="12.75">
      <c r="A1687" s="785" t="s">
        <v>445</v>
      </c>
      <c r="B1687" s="786"/>
      <c r="C1687" s="786"/>
      <c r="D1687" s="786"/>
      <c r="E1687" s="786"/>
      <c r="F1687" s="787"/>
      <c r="G1687" s="440">
        <f>G1681+G1685</f>
        <v>182.947338</v>
      </c>
    </row>
    <row r="1688" spans="1:7" ht="12.75">
      <c r="A1688" s="785" t="s">
        <v>446</v>
      </c>
      <c r="B1688" s="786"/>
      <c r="C1688" s="786"/>
      <c r="D1688" s="786"/>
      <c r="E1688" s="786"/>
      <c r="F1688" s="787"/>
      <c r="G1688" s="440">
        <f>SUM(G1686:G1687)</f>
        <v>2921.347338</v>
      </c>
    </row>
    <row r="1689" spans="1:7" ht="12.75">
      <c r="A1689" s="796"/>
      <c r="B1689" s="797"/>
      <c r="C1689" s="797"/>
      <c r="D1689" s="797"/>
      <c r="E1689" s="797"/>
      <c r="F1689" s="797"/>
      <c r="G1689" s="798"/>
    </row>
    <row r="1690" spans="1:7" ht="12.75">
      <c r="A1690" s="491" t="s">
        <v>83</v>
      </c>
      <c r="B1690" s="799" t="s">
        <v>851</v>
      </c>
      <c r="C1690" s="799"/>
      <c r="D1690" s="799"/>
      <c r="E1690" s="799"/>
      <c r="F1690" s="799"/>
      <c r="G1690" s="800"/>
    </row>
    <row r="1691" spans="1:7" ht="5.25" customHeight="1">
      <c r="A1691" s="804"/>
      <c r="B1691" s="805"/>
      <c r="C1691" s="805"/>
      <c r="D1691" s="805"/>
      <c r="E1691" s="805"/>
      <c r="F1691" s="805"/>
      <c r="G1691" s="806"/>
    </row>
    <row r="1692" spans="1:7" ht="12.75">
      <c r="A1692" s="594"/>
      <c r="B1692" s="595"/>
      <c r="C1692" s="595"/>
      <c r="D1692" s="595"/>
      <c r="E1692" s="595"/>
      <c r="F1692" s="595"/>
      <c r="G1692" s="596"/>
    </row>
    <row r="1693" spans="1:7" ht="12.75">
      <c r="A1693" s="597" t="s">
        <v>1497</v>
      </c>
      <c r="B1693" s="597" t="s">
        <v>1498</v>
      </c>
      <c r="C1693" s="595"/>
      <c r="D1693" s="595"/>
      <c r="E1693" s="595"/>
      <c r="F1693" s="595"/>
      <c r="G1693" s="596"/>
    </row>
    <row r="1694" spans="1:7" ht="12.75">
      <c r="A1694" s="597" t="s">
        <v>1789</v>
      </c>
      <c r="B1694" s="597"/>
      <c r="C1694" s="595"/>
      <c r="D1694" s="595"/>
      <c r="E1694" s="595"/>
      <c r="F1694" s="595"/>
      <c r="G1694" s="596"/>
    </row>
    <row r="1695" spans="1:7" ht="51">
      <c r="A1695" s="171" t="s">
        <v>858</v>
      </c>
      <c r="B1695" s="182" t="s">
        <v>859</v>
      </c>
      <c r="C1695" s="172" t="s">
        <v>72</v>
      </c>
      <c r="D1695" s="172" t="s">
        <v>75</v>
      </c>
      <c r="E1695" s="373"/>
      <c r="F1695" s="374"/>
      <c r="G1695" s="375"/>
    </row>
    <row r="1696" spans="1:7" ht="51">
      <c r="A1696" s="173" t="s">
        <v>860</v>
      </c>
      <c r="B1696" s="174" t="s">
        <v>861</v>
      </c>
      <c r="C1696" s="175" t="s">
        <v>73</v>
      </c>
      <c r="D1696" s="175" t="s">
        <v>75</v>
      </c>
      <c r="E1696" s="434">
        <v>1</v>
      </c>
      <c r="F1696" s="435">
        <v>0.5</v>
      </c>
      <c r="G1696" s="436">
        <f>E1696*F1696</f>
        <v>0.5</v>
      </c>
    </row>
    <row r="1697" spans="1:7" ht="25.5">
      <c r="A1697" s="173" t="s">
        <v>856</v>
      </c>
      <c r="B1697" s="174" t="s">
        <v>857</v>
      </c>
      <c r="C1697" s="175" t="s">
        <v>73</v>
      </c>
      <c r="D1697" s="175" t="s">
        <v>75</v>
      </c>
      <c r="E1697" s="434">
        <v>1</v>
      </c>
      <c r="F1697" s="435">
        <v>8.51</v>
      </c>
      <c r="G1697" s="436">
        <f>E1697*F1697</f>
        <v>8.51</v>
      </c>
    </row>
    <row r="1698" spans="1:7" ht="25.5">
      <c r="A1698" s="173" t="s">
        <v>457</v>
      </c>
      <c r="B1698" s="174" t="s">
        <v>458</v>
      </c>
      <c r="C1698" s="175" t="s">
        <v>72</v>
      </c>
      <c r="D1698" s="175" t="s">
        <v>77</v>
      </c>
      <c r="E1698" s="434">
        <v>0.066</v>
      </c>
      <c r="F1698" s="435">
        <v>12.97</v>
      </c>
      <c r="G1698" s="436">
        <f>E1698*F1698</f>
        <v>0.8560200000000001</v>
      </c>
    </row>
    <row r="1699" spans="1:7" ht="25.5">
      <c r="A1699" s="173" t="s">
        <v>459</v>
      </c>
      <c r="B1699" s="174" t="s">
        <v>460</v>
      </c>
      <c r="C1699" s="175" t="s">
        <v>72</v>
      </c>
      <c r="D1699" s="175" t="s">
        <v>77</v>
      </c>
      <c r="E1699" s="434">
        <v>0.066</v>
      </c>
      <c r="F1699" s="435">
        <v>15.26</v>
      </c>
      <c r="G1699" s="436">
        <f>E1699*F1699</f>
        <v>1.00716</v>
      </c>
    </row>
    <row r="1700" spans="1:7" ht="12.75">
      <c r="A1700" s="783" t="s">
        <v>439</v>
      </c>
      <c r="B1700" s="784"/>
      <c r="C1700" s="784"/>
      <c r="D1700" s="784"/>
      <c r="E1700" s="784"/>
      <c r="F1700" s="784"/>
      <c r="G1700" s="440">
        <f>SUM(G1698:G1699)</f>
        <v>1.8631800000000003</v>
      </c>
    </row>
    <row r="1701" spans="1:7" ht="12.75">
      <c r="A1701" s="783" t="s">
        <v>440</v>
      </c>
      <c r="B1701" s="784"/>
      <c r="C1701" s="784"/>
      <c r="D1701" s="784"/>
      <c r="E1701" s="784"/>
      <c r="F1701" s="784"/>
      <c r="G1701" s="440">
        <f>SUM(G1696:G1697)</f>
        <v>9.01</v>
      </c>
    </row>
    <row r="1702" spans="1:7" ht="12.75">
      <c r="A1702" s="783" t="s">
        <v>441</v>
      </c>
      <c r="B1702" s="784"/>
      <c r="C1702" s="784"/>
      <c r="D1702" s="784"/>
      <c r="E1702" s="784"/>
      <c r="F1702" s="784"/>
      <c r="G1702" s="440">
        <f>SUM(G1700:G1701)</f>
        <v>10.87318</v>
      </c>
    </row>
    <row r="1703" spans="1:7" ht="12.75">
      <c r="A1703" s="783" t="s">
        <v>442</v>
      </c>
      <c r="B1703" s="784"/>
      <c r="C1703" s="784"/>
      <c r="D1703" s="784"/>
      <c r="E1703" s="784"/>
      <c r="F1703" s="784"/>
      <c r="G1703" s="440">
        <f>G1700*85.16%</f>
        <v>1.5866840880000002</v>
      </c>
    </row>
    <row r="1704" spans="1:7" ht="12.75">
      <c r="A1704" s="783" t="s">
        <v>443</v>
      </c>
      <c r="B1704" s="784"/>
      <c r="C1704" s="784"/>
      <c r="D1704" s="784"/>
      <c r="E1704" s="784"/>
      <c r="F1704" s="784"/>
      <c r="G1704" s="440">
        <f>G1703</f>
        <v>1.5866840880000002</v>
      </c>
    </row>
    <row r="1705" spans="1:7" ht="12.75">
      <c r="A1705" s="785" t="s">
        <v>444</v>
      </c>
      <c r="B1705" s="786"/>
      <c r="C1705" s="786"/>
      <c r="D1705" s="786"/>
      <c r="E1705" s="786"/>
      <c r="F1705" s="787"/>
      <c r="G1705" s="440">
        <f>G1701</f>
        <v>9.01</v>
      </c>
    </row>
    <row r="1706" spans="1:7" ht="12.75">
      <c r="A1706" s="785" t="s">
        <v>445</v>
      </c>
      <c r="B1706" s="786"/>
      <c r="C1706" s="786"/>
      <c r="D1706" s="786"/>
      <c r="E1706" s="786"/>
      <c r="F1706" s="787"/>
      <c r="G1706" s="440">
        <f>G1700+G1704</f>
        <v>3.4498640880000004</v>
      </c>
    </row>
    <row r="1707" spans="1:7" ht="12.75">
      <c r="A1707" s="785" t="s">
        <v>446</v>
      </c>
      <c r="B1707" s="786"/>
      <c r="C1707" s="786"/>
      <c r="D1707" s="786"/>
      <c r="E1707" s="786"/>
      <c r="F1707" s="787"/>
      <c r="G1707" s="440">
        <f>SUM(G1705:G1706)</f>
        <v>12.459864088</v>
      </c>
    </row>
    <row r="1708" spans="1:7" ht="12.75">
      <c r="A1708" s="796"/>
      <c r="B1708" s="797"/>
      <c r="C1708" s="797"/>
      <c r="D1708" s="797"/>
      <c r="E1708" s="797"/>
      <c r="F1708" s="797"/>
      <c r="G1708" s="798"/>
    </row>
    <row r="1709" spans="1:7" ht="12.75">
      <c r="A1709" s="804"/>
      <c r="B1709" s="805"/>
      <c r="C1709" s="805"/>
      <c r="D1709" s="805"/>
      <c r="E1709" s="805"/>
      <c r="F1709" s="805"/>
      <c r="G1709" s="806"/>
    </row>
    <row r="1710" spans="1:7" ht="12.75">
      <c r="A1710" s="597" t="s">
        <v>1790</v>
      </c>
      <c r="B1710" s="595"/>
      <c r="C1710" s="595"/>
      <c r="D1710" s="595"/>
      <c r="E1710" s="595"/>
      <c r="F1710" s="595"/>
      <c r="G1710" s="596"/>
    </row>
    <row r="1711" spans="1:7" ht="51">
      <c r="A1711" s="171" t="s">
        <v>852</v>
      </c>
      <c r="B1711" s="182" t="s">
        <v>853</v>
      </c>
      <c r="C1711" s="172" t="s">
        <v>72</v>
      </c>
      <c r="D1711" s="172" t="s">
        <v>75</v>
      </c>
      <c r="E1711" s="434"/>
      <c r="F1711" s="435"/>
      <c r="G1711" s="375"/>
    </row>
    <row r="1712" spans="1:7" ht="51">
      <c r="A1712" s="173" t="s">
        <v>854</v>
      </c>
      <c r="B1712" s="174" t="s">
        <v>855</v>
      </c>
      <c r="C1712" s="175" t="s">
        <v>73</v>
      </c>
      <c r="D1712" s="175" t="s">
        <v>75</v>
      </c>
      <c r="E1712" s="434">
        <v>1</v>
      </c>
      <c r="F1712" s="435">
        <v>0.39</v>
      </c>
      <c r="G1712" s="436">
        <f>E1712*F1712</f>
        <v>0.39</v>
      </c>
    </row>
    <row r="1713" spans="1:7" ht="25.5">
      <c r="A1713" s="173" t="s">
        <v>856</v>
      </c>
      <c r="B1713" s="174" t="s">
        <v>857</v>
      </c>
      <c r="C1713" s="175" t="s">
        <v>73</v>
      </c>
      <c r="D1713" s="175" t="s">
        <v>75</v>
      </c>
      <c r="E1713" s="434">
        <v>1</v>
      </c>
      <c r="F1713" s="435">
        <v>8.51</v>
      </c>
      <c r="G1713" s="436">
        <f>E1713*F1713</f>
        <v>8.51</v>
      </c>
    </row>
    <row r="1714" spans="1:7" ht="25.5">
      <c r="A1714" s="173" t="s">
        <v>457</v>
      </c>
      <c r="B1714" s="174" t="s">
        <v>458</v>
      </c>
      <c r="C1714" s="175" t="s">
        <v>72</v>
      </c>
      <c r="D1714" s="175" t="s">
        <v>77</v>
      </c>
      <c r="E1714" s="434">
        <v>0.048</v>
      </c>
      <c r="F1714" s="435">
        <v>12.97</v>
      </c>
      <c r="G1714" s="436">
        <f>E1714*F1714</f>
        <v>0.62256</v>
      </c>
    </row>
    <row r="1715" spans="1:7" ht="25.5">
      <c r="A1715" s="173" t="s">
        <v>459</v>
      </c>
      <c r="B1715" s="174" t="s">
        <v>460</v>
      </c>
      <c r="C1715" s="175" t="s">
        <v>72</v>
      </c>
      <c r="D1715" s="175" t="s">
        <v>77</v>
      </c>
      <c r="E1715" s="434">
        <v>0.048</v>
      </c>
      <c r="F1715" s="435">
        <v>15.26</v>
      </c>
      <c r="G1715" s="436">
        <f>E1715*F1715</f>
        <v>0.73248</v>
      </c>
    </row>
    <row r="1716" spans="1:7" ht="12.75">
      <c r="A1716" s="783" t="s">
        <v>439</v>
      </c>
      <c r="B1716" s="784"/>
      <c r="C1716" s="784"/>
      <c r="D1716" s="784"/>
      <c r="E1716" s="784"/>
      <c r="F1716" s="784"/>
      <c r="G1716" s="440">
        <f>SUM(G1714:G1715)</f>
        <v>1.35504</v>
      </c>
    </row>
    <row r="1717" spans="1:7" ht="12.75">
      <c r="A1717" s="783" t="s">
        <v>440</v>
      </c>
      <c r="B1717" s="784"/>
      <c r="C1717" s="784"/>
      <c r="D1717" s="784"/>
      <c r="E1717" s="784"/>
      <c r="F1717" s="784"/>
      <c r="G1717" s="440">
        <f>SUM(G1712:G1713)</f>
        <v>8.9</v>
      </c>
    </row>
    <row r="1718" spans="1:7" ht="12.75">
      <c r="A1718" s="783" t="s">
        <v>441</v>
      </c>
      <c r="B1718" s="784"/>
      <c r="C1718" s="784"/>
      <c r="D1718" s="784"/>
      <c r="E1718" s="784"/>
      <c r="F1718" s="784"/>
      <c r="G1718" s="440">
        <f>SUM(G1716:G1717)</f>
        <v>10.255040000000001</v>
      </c>
    </row>
    <row r="1719" spans="1:7" ht="12.75">
      <c r="A1719" s="783" t="s">
        <v>442</v>
      </c>
      <c r="B1719" s="784"/>
      <c r="C1719" s="784"/>
      <c r="D1719" s="784"/>
      <c r="E1719" s="784"/>
      <c r="F1719" s="784"/>
      <c r="G1719" s="440">
        <f>G1716*85.16%</f>
        <v>1.1539520639999998</v>
      </c>
    </row>
    <row r="1720" spans="1:7" ht="12.75">
      <c r="A1720" s="783" t="s">
        <v>443</v>
      </c>
      <c r="B1720" s="784"/>
      <c r="C1720" s="784"/>
      <c r="D1720" s="784"/>
      <c r="E1720" s="784"/>
      <c r="F1720" s="784"/>
      <c r="G1720" s="440">
        <f>G1719</f>
        <v>1.1539520639999998</v>
      </c>
    </row>
    <row r="1721" spans="1:7" ht="12.75">
      <c r="A1721" s="785" t="s">
        <v>444</v>
      </c>
      <c r="B1721" s="786"/>
      <c r="C1721" s="786"/>
      <c r="D1721" s="786"/>
      <c r="E1721" s="786"/>
      <c r="F1721" s="787"/>
      <c r="G1721" s="440">
        <f>G1717</f>
        <v>8.9</v>
      </c>
    </row>
    <row r="1722" spans="1:7" ht="12.75">
      <c r="A1722" s="785" t="s">
        <v>445</v>
      </c>
      <c r="B1722" s="786"/>
      <c r="C1722" s="786"/>
      <c r="D1722" s="786"/>
      <c r="E1722" s="786"/>
      <c r="F1722" s="787"/>
      <c r="G1722" s="440">
        <f>G1716+G1720</f>
        <v>2.508992064</v>
      </c>
    </row>
    <row r="1723" spans="1:7" ht="12.75">
      <c r="A1723" s="785" t="s">
        <v>446</v>
      </c>
      <c r="B1723" s="786"/>
      <c r="C1723" s="786"/>
      <c r="D1723" s="786"/>
      <c r="E1723" s="786"/>
      <c r="F1723" s="787"/>
      <c r="G1723" s="440">
        <f>SUM(G1721:G1722)</f>
        <v>11.408992064</v>
      </c>
    </row>
    <row r="1724" spans="1:7" ht="12.75">
      <c r="A1724" s="796"/>
      <c r="B1724" s="797"/>
      <c r="C1724" s="797"/>
      <c r="D1724" s="797"/>
      <c r="E1724" s="797"/>
      <c r="F1724" s="797"/>
      <c r="G1724" s="798"/>
    </row>
    <row r="1725" spans="1:7" ht="12.75">
      <c r="A1725" s="804"/>
      <c r="B1725" s="805"/>
      <c r="C1725" s="805"/>
      <c r="D1725" s="805"/>
      <c r="E1725" s="805"/>
      <c r="F1725" s="805"/>
      <c r="G1725" s="806"/>
    </row>
    <row r="1726" spans="1:7" ht="12.75">
      <c r="A1726" s="597" t="s">
        <v>1791</v>
      </c>
      <c r="B1726" s="789"/>
      <c r="C1726" s="789"/>
      <c r="D1726" s="789"/>
      <c r="E1726" s="789"/>
      <c r="F1726" s="789"/>
      <c r="G1726" s="790"/>
    </row>
    <row r="1727" spans="1:7" ht="51">
      <c r="A1727" s="171" t="s">
        <v>770</v>
      </c>
      <c r="B1727" s="182" t="s">
        <v>771</v>
      </c>
      <c r="C1727" s="172" t="s">
        <v>72</v>
      </c>
      <c r="D1727" s="172" t="s">
        <v>75</v>
      </c>
      <c r="E1727" s="373"/>
      <c r="F1727" s="374"/>
      <c r="G1727" s="375"/>
    </row>
    <row r="1728" spans="1:7" ht="51">
      <c r="A1728" s="173" t="s">
        <v>772</v>
      </c>
      <c r="B1728" s="174" t="s">
        <v>773</v>
      </c>
      <c r="C1728" s="175" t="s">
        <v>73</v>
      </c>
      <c r="D1728" s="175" t="s">
        <v>75</v>
      </c>
      <c r="E1728" s="434">
        <v>3</v>
      </c>
      <c r="F1728" s="435">
        <v>0.77</v>
      </c>
      <c r="G1728" s="436">
        <f>E1728*F1728</f>
        <v>2.31</v>
      </c>
    </row>
    <row r="1729" spans="1:7" ht="38.25">
      <c r="A1729" s="173" t="s">
        <v>774</v>
      </c>
      <c r="B1729" s="174" t="s">
        <v>227</v>
      </c>
      <c r="C1729" s="175" t="s">
        <v>73</v>
      </c>
      <c r="D1729" s="175" t="s">
        <v>75</v>
      </c>
      <c r="E1729" s="434">
        <v>1</v>
      </c>
      <c r="F1729" s="435">
        <v>416.89</v>
      </c>
      <c r="G1729" s="436">
        <f>E1729*F1729</f>
        <v>416.89</v>
      </c>
    </row>
    <row r="1730" spans="1:7" ht="25.5">
      <c r="A1730" s="173" t="s">
        <v>457</v>
      </c>
      <c r="B1730" s="174" t="s">
        <v>458</v>
      </c>
      <c r="C1730" s="175" t="s">
        <v>72</v>
      </c>
      <c r="D1730" s="175" t="s">
        <v>77</v>
      </c>
      <c r="E1730" s="434">
        <v>0.3</v>
      </c>
      <c r="F1730" s="435">
        <v>12.97</v>
      </c>
      <c r="G1730" s="436">
        <f>E1730*F1730</f>
        <v>3.891</v>
      </c>
    </row>
    <row r="1731" spans="1:7" ht="25.5">
      <c r="A1731" s="173" t="s">
        <v>459</v>
      </c>
      <c r="B1731" s="174" t="s">
        <v>460</v>
      </c>
      <c r="C1731" s="175" t="s">
        <v>72</v>
      </c>
      <c r="D1731" s="175" t="s">
        <v>77</v>
      </c>
      <c r="E1731" s="434">
        <v>0.3</v>
      </c>
      <c r="F1731" s="435">
        <v>15.26</v>
      </c>
      <c r="G1731" s="436">
        <f>E1731*F1731</f>
        <v>4.577999999999999</v>
      </c>
    </row>
    <row r="1732" spans="1:7" ht="12.75">
      <c r="A1732" s="783" t="s">
        <v>439</v>
      </c>
      <c r="B1732" s="784"/>
      <c r="C1732" s="784"/>
      <c r="D1732" s="784"/>
      <c r="E1732" s="784"/>
      <c r="F1732" s="784"/>
      <c r="G1732" s="440">
        <f>SUM(G1730:G1731)</f>
        <v>8.469</v>
      </c>
    </row>
    <row r="1733" spans="1:7" ht="12.75">
      <c r="A1733" s="783" t="s">
        <v>440</v>
      </c>
      <c r="B1733" s="784"/>
      <c r="C1733" s="784"/>
      <c r="D1733" s="784"/>
      <c r="E1733" s="784"/>
      <c r="F1733" s="784"/>
      <c r="G1733" s="440">
        <f>SUM(G1728:G1729)</f>
        <v>419.2</v>
      </c>
    </row>
    <row r="1734" spans="1:7" ht="12.75">
      <c r="A1734" s="783" t="s">
        <v>441</v>
      </c>
      <c r="B1734" s="784"/>
      <c r="C1734" s="784"/>
      <c r="D1734" s="784"/>
      <c r="E1734" s="784"/>
      <c r="F1734" s="784"/>
      <c r="G1734" s="440">
        <f>SUM(G1732:G1733)</f>
        <v>427.669</v>
      </c>
    </row>
    <row r="1735" spans="1:7" ht="12.75">
      <c r="A1735" s="783" t="s">
        <v>442</v>
      </c>
      <c r="B1735" s="784"/>
      <c r="C1735" s="784"/>
      <c r="D1735" s="784"/>
      <c r="E1735" s="784"/>
      <c r="F1735" s="784"/>
      <c r="G1735" s="440">
        <f>G1732*85.16%</f>
        <v>7.212200399999999</v>
      </c>
    </row>
    <row r="1736" spans="1:7" ht="12.75">
      <c r="A1736" s="783" t="s">
        <v>443</v>
      </c>
      <c r="B1736" s="784"/>
      <c r="C1736" s="784"/>
      <c r="D1736" s="784"/>
      <c r="E1736" s="784"/>
      <c r="F1736" s="784"/>
      <c r="G1736" s="440">
        <f>G1735</f>
        <v>7.212200399999999</v>
      </c>
    </row>
    <row r="1737" spans="1:7" ht="12.75">
      <c r="A1737" s="785" t="s">
        <v>444</v>
      </c>
      <c r="B1737" s="786"/>
      <c r="C1737" s="786"/>
      <c r="D1737" s="786"/>
      <c r="E1737" s="786"/>
      <c r="F1737" s="787"/>
      <c r="G1737" s="440">
        <f>G1733</f>
        <v>419.2</v>
      </c>
    </row>
    <row r="1738" spans="1:7" ht="12.75">
      <c r="A1738" s="785" t="s">
        <v>445</v>
      </c>
      <c r="B1738" s="786"/>
      <c r="C1738" s="786"/>
      <c r="D1738" s="786"/>
      <c r="E1738" s="786"/>
      <c r="F1738" s="787"/>
      <c r="G1738" s="440">
        <f>G1732+G1736</f>
        <v>15.681200399999998</v>
      </c>
    </row>
    <row r="1739" spans="1:7" ht="12.75">
      <c r="A1739" s="785" t="s">
        <v>446</v>
      </c>
      <c r="B1739" s="786"/>
      <c r="C1739" s="786"/>
      <c r="D1739" s="786"/>
      <c r="E1739" s="786"/>
      <c r="F1739" s="787"/>
      <c r="G1739" s="440">
        <f>SUM(G1737:G1738)</f>
        <v>434.8812004</v>
      </c>
    </row>
    <row r="1740" spans="1:7" ht="12.75">
      <c r="A1740" s="796"/>
      <c r="B1740" s="797"/>
      <c r="C1740" s="797"/>
      <c r="D1740" s="797"/>
      <c r="E1740" s="797"/>
      <c r="F1740" s="797"/>
      <c r="G1740" s="798"/>
    </row>
    <row r="1741" spans="1:7" ht="12.75">
      <c r="A1741" s="491" t="s">
        <v>83</v>
      </c>
      <c r="B1741" s="799" t="s">
        <v>574</v>
      </c>
      <c r="C1741" s="799"/>
      <c r="D1741" s="799"/>
      <c r="E1741" s="799"/>
      <c r="F1741" s="799"/>
      <c r="G1741" s="800"/>
    </row>
    <row r="1742" spans="1:7" ht="12.75">
      <c r="A1742" s="804"/>
      <c r="B1742" s="805"/>
      <c r="C1742" s="805"/>
      <c r="D1742" s="805"/>
      <c r="E1742" s="805"/>
      <c r="F1742" s="805"/>
      <c r="G1742" s="806"/>
    </row>
    <row r="1743" spans="1:7" ht="12.75">
      <c r="A1743" s="597" t="s">
        <v>1792</v>
      </c>
      <c r="B1743" s="789"/>
      <c r="C1743" s="789"/>
      <c r="D1743" s="789"/>
      <c r="E1743" s="789"/>
      <c r="F1743" s="789"/>
      <c r="G1743" s="790"/>
    </row>
    <row r="1744" spans="1:7" ht="51">
      <c r="A1744" s="171" t="s">
        <v>797</v>
      </c>
      <c r="B1744" s="182" t="s">
        <v>798</v>
      </c>
      <c r="C1744" s="172" t="s">
        <v>72</v>
      </c>
      <c r="D1744" s="172" t="s">
        <v>75</v>
      </c>
      <c r="E1744" s="373"/>
      <c r="F1744" s="374"/>
      <c r="G1744" s="375"/>
    </row>
    <row r="1745" spans="1:7" ht="38.25">
      <c r="A1745" s="173" t="s">
        <v>799</v>
      </c>
      <c r="B1745" s="174" t="s">
        <v>228</v>
      </c>
      <c r="C1745" s="175" t="s">
        <v>73</v>
      </c>
      <c r="D1745" s="175" t="s">
        <v>71</v>
      </c>
      <c r="E1745" s="434">
        <v>1</v>
      </c>
      <c r="F1745" s="435">
        <v>227.05</v>
      </c>
      <c r="G1745" s="436">
        <f>E1745*F1745</f>
        <v>227.05</v>
      </c>
    </row>
    <row r="1746" spans="1:7" ht="25.5">
      <c r="A1746" s="173" t="s">
        <v>457</v>
      </c>
      <c r="B1746" s="174" t="s">
        <v>458</v>
      </c>
      <c r="C1746" s="175" t="s">
        <v>72</v>
      </c>
      <c r="D1746" s="175" t="s">
        <v>77</v>
      </c>
      <c r="E1746" s="434">
        <v>0.45</v>
      </c>
      <c r="F1746" s="435">
        <v>12.97</v>
      </c>
      <c r="G1746" s="436">
        <f>E1746*F1746</f>
        <v>5.8365</v>
      </c>
    </row>
    <row r="1747" spans="1:7" ht="25.5">
      <c r="A1747" s="173" t="s">
        <v>459</v>
      </c>
      <c r="B1747" s="174" t="s">
        <v>460</v>
      </c>
      <c r="C1747" s="175" t="s">
        <v>72</v>
      </c>
      <c r="D1747" s="175" t="s">
        <v>77</v>
      </c>
      <c r="E1747" s="434">
        <v>0.45</v>
      </c>
      <c r="F1747" s="435">
        <v>15.26</v>
      </c>
      <c r="G1747" s="436">
        <f>E1747*F1747</f>
        <v>6.867</v>
      </c>
    </row>
    <row r="1748" spans="1:7" ht="12.75">
      <c r="A1748" s="783" t="s">
        <v>439</v>
      </c>
      <c r="B1748" s="784"/>
      <c r="C1748" s="784"/>
      <c r="D1748" s="784"/>
      <c r="E1748" s="784"/>
      <c r="F1748" s="784"/>
      <c r="G1748" s="440">
        <f>SUM(G1746:G1747)</f>
        <v>12.7035</v>
      </c>
    </row>
    <row r="1749" spans="1:7" ht="12.75">
      <c r="A1749" s="783" t="s">
        <v>440</v>
      </c>
      <c r="B1749" s="784"/>
      <c r="C1749" s="784"/>
      <c r="D1749" s="784"/>
      <c r="E1749" s="784"/>
      <c r="F1749" s="784"/>
      <c r="G1749" s="440">
        <f>SUM(G1745)</f>
        <v>227.05</v>
      </c>
    </row>
    <row r="1750" spans="1:7" ht="12.75">
      <c r="A1750" s="783" t="s">
        <v>441</v>
      </c>
      <c r="B1750" s="784"/>
      <c r="C1750" s="784"/>
      <c r="D1750" s="784"/>
      <c r="E1750" s="784"/>
      <c r="F1750" s="784"/>
      <c r="G1750" s="440">
        <f>SUM(G1748:G1749)</f>
        <v>239.7535</v>
      </c>
    </row>
    <row r="1751" spans="1:7" ht="12.75">
      <c r="A1751" s="783" t="s">
        <v>442</v>
      </c>
      <c r="B1751" s="784"/>
      <c r="C1751" s="784"/>
      <c r="D1751" s="784"/>
      <c r="E1751" s="784"/>
      <c r="F1751" s="784"/>
      <c r="G1751" s="440">
        <f>G1748*85.16%</f>
        <v>10.818300599999999</v>
      </c>
    </row>
    <row r="1752" spans="1:7" ht="12.75">
      <c r="A1752" s="783" t="s">
        <v>443</v>
      </c>
      <c r="B1752" s="784"/>
      <c r="C1752" s="784"/>
      <c r="D1752" s="784"/>
      <c r="E1752" s="784"/>
      <c r="F1752" s="784"/>
      <c r="G1752" s="440">
        <f>G1751</f>
        <v>10.818300599999999</v>
      </c>
    </row>
    <row r="1753" spans="1:7" ht="12.75">
      <c r="A1753" s="785" t="s">
        <v>444</v>
      </c>
      <c r="B1753" s="786"/>
      <c r="C1753" s="786"/>
      <c r="D1753" s="786"/>
      <c r="E1753" s="786"/>
      <c r="F1753" s="787"/>
      <c r="G1753" s="440">
        <f>G1749</f>
        <v>227.05</v>
      </c>
    </row>
    <row r="1754" spans="1:7" ht="12.75">
      <c r="A1754" s="785" t="s">
        <v>445</v>
      </c>
      <c r="B1754" s="786"/>
      <c r="C1754" s="786"/>
      <c r="D1754" s="786"/>
      <c r="E1754" s="786"/>
      <c r="F1754" s="787"/>
      <c r="G1754" s="440">
        <f>G1748+G1752</f>
        <v>23.5218006</v>
      </c>
    </row>
    <row r="1755" spans="1:7" ht="12.75">
      <c r="A1755" s="785" t="s">
        <v>446</v>
      </c>
      <c r="B1755" s="786"/>
      <c r="C1755" s="786"/>
      <c r="D1755" s="786"/>
      <c r="E1755" s="786"/>
      <c r="F1755" s="787"/>
      <c r="G1755" s="440">
        <f>SUM(G1753:G1754)</f>
        <v>250.57180060000002</v>
      </c>
    </row>
    <row r="1756" spans="1:7" ht="12.75">
      <c r="A1756" s="796"/>
      <c r="B1756" s="797"/>
      <c r="C1756" s="797"/>
      <c r="D1756" s="797"/>
      <c r="E1756" s="797"/>
      <c r="F1756" s="797"/>
      <c r="G1756" s="798"/>
    </row>
    <row r="1757" spans="1:7" ht="12.75">
      <c r="A1757" s="491" t="s">
        <v>83</v>
      </c>
      <c r="B1757" s="799" t="s">
        <v>574</v>
      </c>
      <c r="C1757" s="799"/>
      <c r="D1757" s="799"/>
      <c r="E1757" s="799"/>
      <c r="F1757" s="799"/>
      <c r="G1757" s="800"/>
    </row>
    <row r="1758" spans="1:7" ht="5.25" customHeight="1">
      <c r="A1758" s="804"/>
      <c r="B1758" s="805"/>
      <c r="C1758" s="805"/>
      <c r="D1758" s="805"/>
      <c r="E1758" s="805"/>
      <c r="F1758" s="805"/>
      <c r="G1758" s="806"/>
    </row>
    <row r="1759" spans="1:7" ht="12.75">
      <c r="A1759" s="597" t="s">
        <v>1507</v>
      </c>
      <c r="B1759" s="597" t="s">
        <v>1508</v>
      </c>
      <c r="C1759" s="712"/>
      <c r="D1759" s="712"/>
      <c r="E1759" s="712"/>
      <c r="F1759" s="712"/>
      <c r="G1759" s="713"/>
    </row>
    <row r="1760" spans="1:7" ht="25.5">
      <c r="A1760" s="597" t="s">
        <v>1804</v>
      </c>
      <c r="B1760" s="597" t="s">
        <v>1805</v>
      </c>
      <c r="C1760" s="712"/>
      <c r="D1760" s="712"/>
      <c r="E1760" s="712"/>
      <c r="F1760" s="712"/>
      <c r="G1760" s="713"/>
    </row>
    <row r="1761" spans="1:7" ht="12.75">
      <c r="A1761" s="597" t="s">
        <v>1808</v>
      </c>
      <c r="B1761" s="597"/>
      <c r="C1761" s="712"/>
      <c r="D1761" s="712"/>
      <c r="E1761" s="712"/>
      <c r="F1761" s="712"/>
      <c r="G1761" s="713"/>
    </row>
    <row r="1762" spans="1:7" ht="63.75">
      <c r="A1762" s="171" t="s">
        <v>764</v>
      </c>
      <c r="B1762" s="182" t="s">
        <v>229</v>
      </c>
      <c r="C1762" s="172" t="s">
        <v>72</v>
      </c>
      <c r="D1762" s="172" t="s">
        <v>75</v>
      </c>
      <c r="E1762" s="373"/>
      <c r="F1762" s="374"/>
      <c r="G1762" s="375"/>
    </row>
    <row r="1763" spans="1:7" ht="25.5">
      <c r="A1763" s="173" t="s">
        <v>765</v>
      </c>
      <c r="B1763" s="174" t="s">
        <v>766</v>
      </c>
      <c r="C1763" s="175" t="s">
        <v>73</v>
      </c>
      <c r="D1763" s="175" t="s">
        <v>75</v>
      </c>
      <c r="E1763" s="434">
        <v>1</v>
      </c>
      <c r="F1763" s="435">
        <v>139</v>
      </c>
      <c r="G1763" s="436">
        <f>E1763*F1763</f>
        <v>139</v>
      </c>
    </row>
    <row r="1764" spans="1:7" ht="25.5">
      <c r="A1764" s="173" t="s">
        <v>457</v>
      </c>
      <c r="B1764" s="174" t="s">
        <v>458</v>
      </c>
      <c r="C1764" s="175" t="s">
        <v>72</v>
      </c>
      <c r="D1764" s="175" t="s">
        <v>77</v>
      </c>
      <c r="E1764" s="434">
        <v>1.5</v>
      </c>
      <c r="F1764" s="435">
        <v>12.97</v>
      </c>
      <c r="G1764" s="436">
        <f>E1764*F1764</f>
        <v>19.455000000000002</v>
      </c>
    </row>
    <row r="1765" spans="1:7" ht="25.5">
      <c r="A1765" s="173" t="s">
        <v>459</v>
      </c>
      <c r="B1765" s="174" t="s">
        <v>460</v>
      </c>
      <c r="C1765" s="175" t="s">
        <v>72</v>
      </c>
      <c r="D1765" s="175" t="s">
        <v>77</v>
      </c>
      <c r="E1765" s="434">
        <v>1.5</v>
      </c>
      <c r="F1765" s="435">
        <v>15.26</v>
      </c>
      <c r="G1765" s="436">
        <f>E1765*F1765</f>
        <v>22.89</v>
      </c>
    </row>
    <row r="1766" spans="1:7" ht="51">
      <c r="A1766" s="173" t="s">
        <v>767</v>
      </c>
      <c r="B1766" s="174" t="s">
        <v>768</v>
      </c>
      <c r="C1766" s="175" t="s">
        <v>73</v>
      </c>
      <c r="D1766" s="175" t="s">
        <v>71</v>
      </c>
      <c r="E1766" s="434">
        <v>1</v>
      </c>
      <c r="F1766" s="435">
        <v>7.1</v>
      </c>
      <c r="G1766" s="436">
        <f>E1766*F1766</f>
        <v>7.1</v>
      </c>
    </row>
    <row r="1767" spans="1:7" ht="12.75">
      <c r="A1767" s="783" t="s">
        <v>439</v>
      </c>
      <c r="B1767" s="784"/>
      <c r="C1767" s="784"/>
      <c r="D1767" s="784"/>
      <c r="E1767" s="784"/>
      <c r="F1767" s="784"/>
      <c r="G1767" s="440">
        <f>SUM(G1764:G1765)</f>
        <v>42.345</v>
      </c>
    </row>
    <row r="1768" spans="1:7" ht="12.75">
      <c r="A1768" s="783" t="s">
        <v>440</v>
      </c>
      <c r="B1768" s="784"/>
      <c r="C1768" s="784"/>
      <c r="D1768" s="784"/>
      <c r="E1768" s="784"/>
      <c r="F1768" s="784"/>
      <c r="G1768" s="440">
        <f>G1763+G1766</f>
        <v>146.1</v>
      </c>
    </row>
    <row r="1769" spans="1:7" ht="12.75">
      <c r="A1769" s="783" t="s">
        <v>441</v>
      </c>
      <c r="B1769" s="784"/>
      <c r="C1769" s="784"/>
      <c r="D1769" s="784"/>
      <c r="E1769" s="784"/>
      <c r="F1769" s="784"/>
      <c r="G1769" s="440">
        <f>SUM(G1767:G1768)</f>
        <v>188.445</v>
      </c>
    </row>
    <row r="1770" spans="1:7" ht="12.75">
      <c r="A1770" s="783" t="s">
        <v>442</v>
      </c>
      <c r="B1770" s="784"/>
      <c r="C1770" s="784"/>
      <c r="D1770" s="784"/>
      <c r="E1770" s="784"/>
      <c r="F1770" s="784"/>
      <c r="G1770" s="440">
        <f>G1767*85.16%</f>
        <v>36.061001999999995</v>
      </c>
    </row>
    <row r="1771" spans="1:7" ht="12.75">
      <c r="A1771" s="783" t="s">
        <v>443</v>
      </c>
      <c r="B1771" s="784"/>
      <c r="C1771" s="784"/>
      <c r="D1771" s="784"/>
      <c r="E1771" s="784"/>
      <c r="F1771" s="784"/>
      <c r="G1771" s="440">
        <f>G1770</f>
        <v>36.061001999999995</v>
      </c>
    </row>
    <row r="1772" spans="1:7" ht="12.75">
      <c r="A1772" s="785" t="s">
        <v>444</v>
      </c>
      <c r="B1772" s="786"/>
      <c r="C1772" s="786"/>
      <c r="D1772" s="786"/>
      <c r="E1772" s="786"/>
      <c r="F1772" s="787"/>
      <c r="G1772" s="440">
        <f>G1768</f>
        <v>146.1</v>
      </c>
    </row>
    <row r="1773" spans="1:7" ht="12.75">
      <c r="A1773" s="785" t="s">
        <v>445</v>
      </c>
      <c r="B1773" s="786"/>
      <c r="C1773" s="786"/>
      <c r="D1773" s="786"/>
      <c r="E1773" s="786"/>
      <c r="F1773" s="787"/>
      <c r="G1773" s="440">
        <f>G1767+G1771</f>
        <v>78.406002</v>
      </c>
    </row>
    <row r="1774" spans="1:7" ht="12.75">
      <c r="A1774" s="785" t="s">
        <v>446</v>
      </c>
      <c r="B1774" s="786"/>
      <c r="C1774" s="786"/>
      <c r="D1774" s="786"/>
      <c r="E1774" s="786"/>
      <c r="F1774" s="787"/>
      <c r="G1774" s="440">
        <f>SUM(G1772:G1773)</f>
        <v>224.506002</v>
      </c>
    </row>
    <row r="1775" spans="1:7" ht="12.75">
      <c r="A1775" s="491" t="s">
        <v>83</v>
      </c>
      <c r="B1775" s="799" t="s">
        <v>769</v>
      </c>
      <c r="C1775" s="799"/>
      <c r="D1775" s="799"/>
      <c r="E1775" s="799"/>
      <c r="F1775" s="799"/>
      <c r="G1775" s="800"/>
    </row>
    <row r="1776" spans="1:7" ht="12.75">
      <c r="A1776" s="804"/>
      <c r="B1776" s="805"/>
      <c r="C1776" s="805"/>
      <c r="D1776" s="805"/>
      <c r="E1776" s="805"/>
      <c r="F1776" s="805"/>
      <c r="G1776" s="806"/>
    </row>
    <row r="1777" spans="1:7" ht="12.75">
      <c r="A1777" s="169"/>
      <c r="B1777" s="828"/>
      <c r="C1777" s="828"/>
      <c r="D1777" s="828"/>
      <c r="E1777" s="828"/>
      <c r="F1777" s="828"/>
      <c r="G1777" s="829"/>
    </row>
    <row r="1778" spans="1:7" ht="12.75">
      <c r="A1778" s="804"/>
      <c r="B1778" s="805"/>
      <c r="C1778" s="805"/>
      <c r="D1778" s="805"/>
      <c r="E1778" s="805"/>
      <c r="F1778" s="805"/>
      <c r="G1778" s="806"/>
    </row>
    <row r="1779" spans="1:7" ht="12.75">
      <c r="A1779" s="597" t="s">
        <v>1456</v>
      </c>
      <c r="B1779" s="597" t="s">
        <v>1457</v>
      </c>
      <c r="C1779" s="595"/>
      <c r="D1779" s="595"/>
      <c r="E1779" s="595"/>
      <c r="F1779" s="595"/>
      <c r="G1779" s="596"/>
    </row>
    <row r="1780" spans="1:7" ht="12.75">
      <c r="A1780" s="597" t="s">
        <v>1478</v>
      </c>
      <c r="B1780" s="597" t="s">
        <v>1479</v>
      </c>
      <c r="C1780" s="595"/>
      <c r="D1780" s="595"/>
      <c r="E1780" s="595"/>
      <c r="F1780" s="595"/>
      <c r="G1780" s="596"/>
    </row>
    <row r="1781" spans="1:7" ht="12.75">
      <c r="A1781" s="597" t="s">
        <v>1480</v>
      </c>
      <c r="B1781" s="597" t="s">
        <v>1812</v>
      </c>
      <c r="C1781" s="595"/>
      <c r="D1781" s="595"/>
      <c r="E1781" s="595"/>
      <c r="F1781" s="595"/>
      <c r="G1781" s="596"/>
    </row>
    <row r="1782" spans="1:7" ht="12.75">
      <c r="A1782" s="597" t="s">
        <v>1809</v>
      </c>
      <c r="B1782" s="597"/>
      <c r="C1782" s="595"/>
      <c r="D1782" s="595"/>
      <c r="E1782" s="595"/>
      <c r="F1782" s="595"/>
      <c r="G1782" s="596"/>
    </row>
    <row r="1783" spans="1:7" ht="102">
      <c r="A1783" s="171" t="s">
        <v>888</v>
      </c>
      <c r="B1783" s="182" t="s">
        <v>889</v>
      </c>
      <c r="C1783" s="172" t="s">
        <v>72</v>
      </c>
      <c r="D1783" s="172" t="s">
        <v>75</v>
      </c>
      <c r="E1783" s="373"/>
      <c r="F1783" s="374"/>
      <c r="G1783" s="375"/>
    </row>
    <row r="1784" spans="1:7" ht="25.5">
      <c r="A1784" s="173" t="s">
        <v>890</v>
      </c>
      <c r="B1784" s="174" t="s">
        <v>891</v>
      </c>
      <c r="C1784" s="175" t="s">
        <v>73</v>
      </c>
      <c r="D1784" s="175" t="s">
        <v>75</v>
      </c>
      <c r="E1784" s="434">
        <v>1</v>
      </c>
      <c r="F1784" s="435">
        <v>415</v>
      </c>
      <c r="G1784" s="436">
        <f>E1784*F1784</f>
        <v>415</v>
      </c>
    </row>
    <row r="1785" spans="1:7" ht="25.5">
      <c r="A1785" s="173" t="s">
        <v>457</v>
      </c>
      <c r="B1785" s="174" t="s">
        <v>458</v>
      </c>
      <c r="C1785" s="175" t="s">
        <v>72</v>
      </c>
      <c r="D1785" s="175" t="s">
        <v>77</v>
      </c>
      <c r="E1785" s="434">
        <v>0.55</v>
      </c>
      <c r="F1785" s="435">
        <v>12.97</v>
      </c>
      <c r="G1785" s="436">
        <f>E1785*F1785</f>
        <v>7.133500000000001</v>
      </c>
    </row>
    <row r="1786" spans="1:7" ht="25.5">
      <c r="A1786" s="173" t="s">
        <v>459</v>
      </c>
      <c r="B1786" s="174" t="s">
        <v>460</v>
      </c>
      <c r="C1786" s="175" t="s">
        <v>72</v>
      </c>
      <c r="D1786" s="175" t="s">
        <v>77</v>
      </c>
      <c r="E1786" s="434">
        <v>0.55</v>
      </c>
      <c r="F1786" s="435">
        <v>15.26</v>
      </c>
      <c r="G1786" s="436">
        <f>E1786*F1786</f>
        <v>8.393</v>
      </c>
    </row>
    <row r="1787" spans="1:7" ht="12.75">
      <c r="A1787" s="783" t="s">
        <v>439</v>
      </c>
      <c r="B1787" s="784"/>
      <c r="C1787" s="784"/>
      <c r="D1787" s="784"/>
      <c r="E1787" s="784"/>
      <c r="F1787" s="784"/>
      <c r="G1787" s="440">
        <f>SUM(G1785:G1786)</f>
        <v>15.526500000000002</v>
      </c>
    </row>
    <row r="1788" spans="1:7" ht="12.75">
      <c r="A1788" s="783" t="s">
        <v>440</v>
      </c>
      <c r="B1788" s="784"/>
      <c r="C1788" s="784"/>
      <c r="D1788" s="784"/>
      <c r="E1788" s="784"/>
      <c r="F1788" s="784"/>
      <c r="G1788" s="440">
        <f>SUM(G1784)</f>
        <v>415</v>
      </c>
    </row>
    <row r="1789" spans="1:7" ht="12.75">
      <c r="A1789" s="783" t="s">
        <v>441</v>
      </c>
      <c r="B1789" s="784"/>
      <c r="C1789" s="784"/>
      <c r="D1789" s="784"/>
      <c r="E1789" s="784"/>
      <c r="F1789" s="784"/>
      <c r="G1789" s="440">
        <f>SUM(G1787:G1788)</f>
        <v>430.5265</v>
      </c>
    </row>
    <row r="1790" spans="1:7" ht="12.75">
      <c r="A1790" s="783" t="s">
        <v>442</v>
      </c>
      <c r="B1790" s="784"/>
      <c r="C1790" s="784"/>
      <c r="D1790" s="784"/>
      <c r="E1790" s="784"/>
      <c r="F1790" s="784"/>
      <c r="G1790" s="440">
        <f>G1787*85.16%</f>
        <v>13.222367400000001</v>
      </c>
    </row>
    <row r="1791" spans="1:7" ht="12.75">
      <c r="A1791" s="783" t="s">
        <v>443</v>
      </c>
      <c r="B1791" s="784"/>
      <c r="C1791" s="784"/>
      <c r="D1791" s="784"/>
      <c r="E1791" s="784"/>
      <c r="F1791" s="784"/>
      <c r="G1791" s="440">
        <f>G1790</f>
        <v>13.222367400000001</v>
      </c>
    </row>
    <row r="1792" spans="1:7" ht="12.75">
      <c r="A1792" s="785" t="s">
        <v>444</v>
      </c>
      <c r="B1792" s="786"/>
      <c r="C1792" s="786"/>
      <c r="D1792" s="786"/>
      <c r="E1792" s="786"/>
      <c r="F1792" s="787"/>
      <c r="G1792" s="440">
        <f>G1788</f>
        <v>415</v>
      </c>
    </row>
    <row r="1793" spans="1:7" ht="12.75">
      <c r="A1793" s="785" t="s">
        <v>445</v>
      </c>
      <c r="B1793" s="786"/>
      <c r="C1793" s="786"/>
      <c r="D1793" s="786"/>
      <c r="E1793" s="786"/>
      <c r="F1793" s="787"/>
      <c r="G1793" s="440">
        <f>G1787+G1791</f>
        <v>28.7488674</v>
      </c>
    </row>
    <row r="1794" spans="1:7" ht="12.75">
      <c r="A1794" s="785" t="s">
        <v>446</v>
      </c>
      <c r="B1794" s="786"/>
      <c r="C1794" s="786"/>
      <c r="D1794" s="786"/>
      <c r="E1794" s="786"/>
      <c r="F1794" s="787"/>
      <c r="G1794" s="440">
        <f>SUM(G1792:G1793)</f>
        <v>443.7488674</v>
      </c>
    </row>
    <row r="1795" spans="1:7" ht="12.75">
      <c r="A1795" s="491" t="s">
        <v>83</v>
      </c>
      <c r="B1795" s="799" t="s">
        <v>574</v>
      </c>
      <c r="C1795" s="799"/>
      <c r="D1795" s="799"/>
      <c r="E1795" s="799"/>
      <c r="F1795" s="799"/>
      <c r="G1795" s="800"/>
    </row>
    <row r="1796" spans="1:7" ht="5.25" customHeight="1">
      <c r="A1796" s="804"/>
      <c r="B1796" s="805"/>
      <c r="C1796" s="805"/>
      <c r="D1796" s="805"/>
      <c r="E1796" s="805"/>
      <c r="F1796" s="805"/>
      <c r="G1796" s="806"/>
    </row>
    <row r="1797" spans="1:7" ht="12.75">
      <c r="A1797" s="597" t="s">
        <v>1477</v>
      </c>
      <c r="B1797" s="597" t="s">
        <v>1482</v>
      </c>
      <c r="C1797" s="595"/>
      <c r="D1797" s="595"/>
      <c r="E1797" s="595"/>
      <c r="F1797" s="595"/>
      <c r="G1797" s="596"/>
    </row>
    <row r="1798" spans="1:7" ht="12.75">
      <c r="A1798" s="597" t="s">
        <v>1481</v>
      </c>
      <c r="B1798" s="597" t="s">
        <v>1813</v>
      </c>
      <c r="C1798" s="595"/>
      <c r="D1798" s="595"/>
      <c r="E1798" s="595"/>
      <c r="F1798" s="595"/>
      <c r="G1798" s="596"/>
    </row>
    <row r="1799" spans="1:7" ht="12.75">
      <c r="A1799" s="597" t="s">
        <v>1810</v>
      </c>
      <c r="B1799" s="597"/>
      <c r="C1799" s="595"/>
      <c r="D1799" s="595"/>
      <c r="E1799" s="595"/>
      <c r="F1799" s="595"/>
      <c r="G1799" s="596"/>
    </row>
    <row r="1800" spans="1:7" ht="25.5">
      <c r="A1800" s="171" t="s">
        <v>1123</v>
      </c>
      <c r="B1800" s="182" t="s">
        <v>1122</v>
      </c>
      <c r="C1800" s="172" t="s">
        <v>72</v>
      </c>
      <c r="D1800" s="172" t="s">
        <v>75</v>
      </c>
      <c r="E1800" s="373"/>
      <c r="F1800" s="374"/>
      <c r="G1800" s="375"/>
    </row>
    <row r="1801" spans="1:7" ht="25.5">
      <c r="A1801" s="173" t="s">
        <v>1124</v>
      </c>
      <c r="B1801" s="174" t="s">
        <v>1122</v>
      </c>
      <c r="C1801" s="175" t="s">
        <v>73</v>
      </c>
      <c r="D1801" s="175" t="s">
        <v>75</v>
      </c>
      <c r="E1801" s="434">
        <v>1</v>
      </c>
      <c r="F1801" s="435">
        <v>10.58</v>
      </c>
      <c r="G1801" s="436">
        <f>E1801*F1801</f>
        <v>10.58</v>
      </c>
    </row>
    <row r="1802" spans="1:7" ht="25.5">
      <c r="A1802" s="173" t="s">
        <v>471</v>
      </c>
      <c r="B1802" s="174" t="s">
        <v>1125</v>
      </c>
      <c r="C1802" s="175" t="s">
        <v>72</v>
      </c>
      <c r="D1802" s="175" t="s">
        <v>77</v>
      </c>
      <c r="E1802" s="434">
        <v>3.5</v>
      </c>
      <c r="F1802" s="435">
        <v>13.15</v>
      </c>
      <c r="G1802" s="436">
        <f>E1802*F1802</f>
        <v>46.025</v>
      </c>
    </row>
    <row r="1803" spans="1:7" ht="25.5">
      <c r="A1803" s="173" t="s">
        <v>932</v>
      </c>
      <c r="B1803" s="174" t="s">
        <v>1126</v>
      </c>
      <c r="C1803" s="175" t="s">
        <v>72</v>
      </c>
      <c r="D1803" s="175" t="s">
        <v>77</v>
      </c>
      <c r="E1803" s="434">
        <v>3.5</v>
      </c>
      <c r="F1803" s="435">
        <v>11.49</v>
      </c>
      <c r="G1803" s="436">
        <f>E1803*F1803</f>
        <v>40.215</v>
      </c>
    </row>
    <row r="1804" spans="1:7" ht="12.75">
      <c r="A1804" s="783" t="s">
        <v>439</v>
      </c>
      <c r="B1804" s="784"/>
      <c r="C1804" s="784"/>
      <c r="D1804" s="784"/>
      <c r="E1804" s="784"/>
      <c r="F1804" s="784"/>
      <c r="G1804" s="440">
        <f>SUM(G1802:G1803)</f>
        <v>86.24000000000001</v>
      </c>
    </row>
    <row r="1805" spans="1:7" ht="12.75">
      <c r="A1805" s="783" t="s">
        <v>440</v>
      </c>
      <c r="B1805" s="784"/>
      <c r="C1805" s="784"/>
      <c r="D1805" s="784"/>
      <c r="E1805" s="784"/>
      <c r="F1805" s="784"/>
      <c r="G1805" s="440">
        <f>SUM(G1801)</f>
        <v>10.58</v>
      </c>
    </row>
    <row r="1806" spans="1:7" ht="12.75">
      <c r="A1806" s="783" t="s">
        <v>441</v>
      </c>
      <c r="B1806" s="784"/>
      <c r="C1806" s="784"/>
      <c r="D1806" s="784"/>
      <c r="E1806" s="784"/>
      <c r="F1806" s="784"/>
      <c r="G1806" s="440">
        <f>SUM(G1804:G1805)</f>
        <v>96.82000000000001</v>
      </c>
    </row>
    <row r="1807" spans="1:7" ht="12.75">
      <c r="A1807" s="783" t="s">
        <v>442</v>
      </c>
      <c r="B1807" s="784"/>
      <c r="C1807" s="784"/>
      <c r="D1807" s="784"/>
      <c r="E1807" s="784"/>
      <c r="F1807" s="784"/>
      <c r="G1807" s="440">
        <f>G1804*85.16%</f>
        <v>73.441984</v>
      </c>
    </row>
    <row r="1808" spans="1:7" ht="12.75">
      <c r="A1808" s="783" t="s">
        <v>443</v>
      </c>
      <c r="B1808" s="784"/>
      <c r="C1808" s="784"/>
      <c r="D1808" s="784"/>
      <c r="E1808" s="784"/>
      <c r="F1808" s="784"/>
      <c r="G1808" s="440">
        <f>G1807</f>
        <v>73.441984</v>
      </c>
    </row>
    <row r="1809" spans="1:7" ht="12.75">
      <c r="A1809" s="785" t="s">
        <v>444</v>
      </c>
      <c r="B1809" s="786"/>
      <c r="C1809" s="786"/>
      <c r="D1809" s="786"/>
      <c r="E1809" s="786"/>
      <c r="F1809" s="787"/>
      <c r="G1809" s="440">
        <f>G1805</f>
        <v>10.58</v>
      </c>
    </row>
    <row r="1810" spans="1:7" ht="12.75">
      <c r="A1810" s="785" t="s">
        <v>445</v>
      </c>
      <c r="B1810" s="786"/>
      <c r="C1810" s="786"/>
      <c r="D1810" s="786"/>
      <c r="E1810" s="786"/>
      <c r="F1810" s="787"/>
      <c r="G1810" s="440">
        <f>G1804+G1808</f>
        <v>159.681984</v>
      </c>
    </row>
    <row r="1811" spans="1:7" ht="12.75">
      <c r="A1811" s="785" t="s">
        <v>446</v>
      </c>
      <c r="B1811" s="786"/>
      <c r="C1811" s="786"/>
      <c r="D1811" s="786"/>
      <c r="E1811" s="786"/>
      <c r="F1811" s="787"/>
      <c r="G1811" s="440">
        <f>SUM(G1809:G1810)</f>
        <v>170.261984</v>
      </c>
    </row>
    <row r="1812" spans="1:7" ht="12.75">
      <c r="A1812" s="796"/>
      <c r="B1812" s="797"/>
      <c r="C1812" s="797"/>
      <c r="D1812" s="797"/>
      <c r="E1812" s="797"/>
      <c r="F1812" s="797"/>
      <c r="G1812" s="798"/>
    </row>
    <row r="1813" spans="1:7" ht="25.5" customHeight="1">
      <c r="A1813" s="491" t="s">
        <v>83</v>
      </c>
      <c r="B1813" s="814" t="s">
        <v>1278</v>
      </c>
      <c r="C1813" s="815"/>
      <c r="D1813" s="815"/>
      <c r="E1813" s="815"/>
      <c r="F1813" s="815"/>
      <c r="G1813" s="816"/>
    </row>
    <row r="1814" spans="1:7" ht="12.75">
      <c r="A1814" s="804"/>
      <c r="B1814" s="805"/>
      <c r="C1814" s="805"/>
      <c r="D1814" s="805"/>
      <c r="E1814" s="805"/>
      <c r="F1814" s="805"/>
      <c r="G1814" s="806"/>
    </row>
    <row r="1815" spans="1:7" ht="12.75">
      <c r="A1815" s="597" t="s">
        <v>1543</v>
      </c>
      <c r="B1815" s="597" t="s">
        <v>1544</v>
      </c>
      <c r="C1815" s="595"/>
      <c r="D1815" s="595"/>
      <c r="E1815" s="595"/>
      <c r="F1815" s="595"/>
      <c r="G1815" s="596"/>
    </row>
    <row r="1816" spans="1:7" ht="12.75">
      <c r="A1816" s="597" t="s">
        <v>1546</v>
      </c>
      <c r="B1816" s="597" t="s">
        <v>1545</v>
      </c>
      <c r="C1816" s="595"/>
      <c r="D1816" s="595"/>
      <c r="E1816" s="595"/>
      <c r="F1816" s="595"/>
      <c r="G1816" s="596"/>
    </row>
    <row r="1817" spans="1:7" ht="12.75">
      <c r="A1817" s="597" t="s">
        <v>1547</v>
      </c>
      <c r="B1817" s="597" t="s">
        <v>1521</v>
      </c>
      <c r="C1817" s="595"/>
      <c r="D1817" s="595"/>
      <c r="E1817" s="595"/>
      <c r="F1817" s="595"/>
      <c r="G1817" s="596"/>
    </row>
    <row r="1818" spans="1:7" ht="12.75">
      <c r="A1818" s="597" t="s">
        <v>1754</v>
      </c>
      <c r="B1818" s="597"/>
      <c r="C1818" s="595"/>
      <c r="D1818" s="595"/>
      <c r="E1818" s="595"/>
      <c r="F1818" s="595"/>
      <c r="G1818" s="596"/>
    </row>
    <row r="1819" spans="1:7" ht="51">
      <c r="A1819" s="171" t="s">
        <v>862</v>
      </c>
      <c r="B1819" s="182" t="s">
        <v>863</v>
      </c>
      <c r="C1819" s="172" t="s">
        <v>72</v>
      </c>
      <c r="D1819" s="172" t="s">
        <v>71</v>
      </c>
      <c r="E1819" s="373"/>
      <c r="F1819" s="374"/>
      <c r="G1819" s="375"/>
    </row>
    <row r="1820" spans="1:7" ht="25.5">
      <c r="A1820" s="173" t="s">
        <v>577</v>
      </c>
      <c r="B1820" s="174" t="s">
        <v>578</v>
      </c>
      <c r="C1820" s="175" t="s">
        <v>73</v>
      </c>
      <c r="D1820" s="175" t="s">
        <v>75</v>
      </c>
      <c r="E1820" s="434">
        <v>0.0062</v>
      </c>
      <c r="F1820" s="435">
        <v>43.02</v>
      </c>
      <c r="G1820" s="436">
        <f aca="true" t="shared" si="11" ref="G1820:G1825">E1820*F1820</f>
        <v>0.266724</v>
      </c>
    </row>
    <row r="1821" spans="1:7" ht="38.25">
      <c r="A1821" s="173" t="s">
        <v>864</v>
      </c>
      <c r="B1821" s="174" t="s">
        <v>865</v>
      </c>
      <c r="C1821" s="175" t="s">
        <v>73</v>
      </c>
      <c r="D1821" s="175" t="s">
        <v>71</v>
      </c>
      <c r="E1821" s="434">
        <v>1.04</v>
      </c>
      <c r="F1821" s="435">
        <v>35.87</v>
      </c>
      <c r="G1821" s="436">
        <f t="shared" si="11"/>
        <v>37.3048</v>
      </c>
    </row>
    <row r="1822" spans="1:7" ht="25.5">
      <c r="A1822" s="173" t="s">
        <v>579</v>
      </c>
      <c r="B1822" s="174" t="s">
        <v>580</v>
      </c>
      <c r="C1822" s="175" t="s">
        <v>73</v>
      </c>
      <c r="D1822" s="175" t="s">
        <v>75</v>
      </c>
      <c r="E1822" s="434">
        <v>0.0102</v>
      </c>
      <c r="F1822" s="435">
        <v>36.08</v>
      </c>
      <c r="G1822" s="436">
        <f t="shared" si="11"/>
        <v>0.368016</v>
      </c>
    </row>
    <row r="1823" spans="1:7" ht="12.75">
      <c r="A1823" s="173" t="s">
        <v>583</v>
      </c>
      <c r="B1823" s="174" t="s">
        <v>584</v>
      </c>
      <c r="C1823" s="175" t="s">
        <v>73</v>
      </c>
      <c r="D1823" s="175" t="s">
        <v>75</v>
      </c>
      <c r="E1823" s="434">
        <v>0.037</v>
      </c>
      <c r="F1823" s="435">
        <v>1.52</v>
      </c>
      <c r="G1823" s="436">
        <f t="shared" si="11"/>
        <v>0.05624</v>
      </c>
    </row>
    <row r="1824" spans="1:7" ht="38.25">
      <c r="A1824" s="173" t="s">
        <v>492</v>
      </c>
      <c r="B1824" s="174" t="s">
        <v>493</v>
      </c>
      <c r="C1824" s="175" t="s">
        <v>72</v>
      </c>
      <c r="D1824" s="175" t="s">
        <v>77</v>
      </c>
      <c r="E1824" s="434">
        <v>0.18</v>
      </c>
      <c r="F1824" s="435">
        <v>12.86</v>
      </c>
      <c r="G1824" s="436">
        <f t="shared" si="11"/>
        <v>2.3148</v>
      </c>
    </row>
    <row r="1825" spans="1:7" ht="25.5">
      <c r="A1825" s="173" t="s">
        <v>494</v>
      </c>
      <c r="B1825" s="174" t="s">
        <v>495</v>
      </c>
      <c r="C1825" s="175" t="s">
        <v>72</v>
      </c>
      <c r="D1825" s="175" t="s">
        <v>77</v>
      </c>
      <c r="E1825" s="434">
        <v>0.18</v>
      </c>
      <c r="F1825" s="435">
        <v>15.12</v>
      </c>
      <c r="G1825" s="436">
        <f t="shared" si="11"/>
        <v>2.7215999999999996</v>
      </c>
    </row>
    <row r="1826" spans="1:7" ht="12.75">
      <c r="A1826" s="783" t="s">
        <v>439</v>
      </c>
      <c r="B1826" s="784"/>
      <c r="C1826" s="784"/>
      <c r="D1826" s="784"/>
      <c r="E1826" s="784"/>
      <c r="F1826" s="784"/>
      <c r="G1826" s="440">
        <f>SUM(G1824:G1825)</f>
        <v>5.0363999999999995</v>
      </c>
    </row>
    <row r="1827" spans="1:7" ht="12.75">
      <c r="A1827" s="783" t="s">
        <v>440</v>
      </c>
      <c r="B1827" s="784"/>
      <c r="C1827" s="784"/>
      <c r="D1827" s="784"/>
      <c r="E1827" s="784"/>
      <c r="F1827" s="784"/>
      <c r="G1827" s="440">
        <f>SUM(G1820:G1823)</f>
        <v>37.99578</v>
      </c>
    </row>
    <row r="1828" spans="1:7" ht="12.75">
      <c r="A1828" s="783" t="s">
        <v>441</v>
      </c>
      <c r="B1828" s="784"/>
      <c r="C1828" s="784"/>
      <c r="D1828" s="784"/>
      <c r="E1828" s="784"/>
      <c r="F1828" s="784"/>
      <c r="G1828" s="440">
        <f>SUM(G1826:G1827)</f>
        <v>43.032180000000004</v>
      </c>
    </row>
    <row r="1829" spans="1:7" ht="12.75">
      <c r="A1829" s="783" t="s">
        <v>442</v>
      </c>
      <c r="B1829" s="784"/>
      <c r="C1829" s="784"/>
      <c r="D1829" s="784"/>
      <c r="E1829" s="784"/>
      <c r="F1829" s="784"/>
      <c r="G1829" s="440">
        <f>G1826*85.16%</f>
        <v>4.288998239999999</v>
      </c>
    </row>
    <row r="1830" spans="1:7" ht="12.75">
      <c r="A1830" s="783" t="s">
        <v>443</v>
      </c>
      <c r="B1830" s="784"/>
      <c r="C1830" s="784"/>
      <c r="D1830" s="784"/>
      <c r="E1830" s="784"/>
      <c r="F1830" s="784"/>
      <c r="G1830" s="440">
        <f>G1829</f>
        <v>4.288998239999999</v>
      </c>
    </row>
    <row r="1831" spans="1:7" ht="12.75">
      <c r="A1831" s="785" t="s">
        <v>444</v>
      </c>
      <c r="B1831" s="786"/>
      <c r="C1831" s="786"/>
      <c r="D1831" s="786"/>
      <c r="E1831" s="786"/>
      <c r="F1831" s="787"/>
      <c r="G1831" s="440">
        <f>G1827</f>
        <v>37.99578</v>
      </c>
    </row>
    <row r="1832" spans="1:7" ht="12.75" customHeight="1">
      <c r="A1832" s="785" t="s">
        <v>445</v>
      </c>
      <c r="B1832" s="786"/>
      <c r="C1832" s="786"/>
      <c r="D1832" s="786"/>
      <c r="E1832" s="786"/>
      <c r="F1832" s="787"/>
      <c r="G1832" s="440">
        <f>G1826+G1830</f>
        <v>9.325398239999998</v>
      </c>
    </row>
    <row r="1833" spans="1:7" ht="12.75" customHeight="1">
      <c r="A1833" s="785" t="s">
        <v>446</v>
      </c>
      <c r="B1833" s="786"/>
      <c r="C1833" s="786"/>
      <c r="D1833" s="786"/>
      <c r="E1833" s="786"/>
      <c r="F1833" s="787"/>
      <c r="G1833" s="440">
        <f>SUM(G1831:G1832)</f>
        <v>47.32117824</v>
      </c>
    </row>
    <row r="1834" spans="1:7" ht="12.75">
      <c r="A1834" s="796"/>
      <c r="B1834" s="797"/>
      <c r="C1834" s="797"/>
      <c r="D1834" s="797"/>
      <c r="E1834" s="797"/>
      <c r="F1834" s="797"/>
      <c r="G1834" s="798"/>
    </row>
    <row r="1835" spans="1:7" ht="12.75">
      <c r="A1835" s="591"/>
      <c r="B1835" s="592"/>
      <c r="C1835" s="592"/>
      <c r="D1835" s="592"/>
      <c r="E1835" s="592"/>
      <c r="F1835" s="592"/>
      <c r="G1835" s="593"/>
    </row>
    <row r="1836" spans="1:7" ht="12.75">
      <c r="A1836" s="394" t="s">
        <v>1483</v>
      </c>
      <c r="B1836" s="394" t="s">
        <v>1484</v>
      </c>
      <c r="C1836" s="592"/>
      <c r="D1836" s="592"/>
      <c r="E1836" s="592"/>
      <c r="F1836" s="592"/>
      <c r="G1836" s="593"/>
    </row>
    <row r="1837" spans="1:7" ht="12.75">
      <c r="A1837" s="394" t="s">
        <v>1485</v>
      </c>
      <c r="B1837" s="394" t="s">
        <v>1814</v>
      </c>
      <c r="C1837" s="592"/>
      <c r="D1837" s="592"/>
      <c r="E1837" s="592"/>
      <c r="F1837" s="592"/>
      <c r="G1837" s="593"/>
    </row>
    <row r="1838" spans="1:7" ht="12.75">
      <c r="A1838" s="394" t="s">
        <v>1811</v>
      </c>
      <c r="B1838" s="394"/>
      <c r="C1838" s="592"/>
      <c r="D1838" s="592"/>
      <c r="E1838" s="592"/>
      <c r="F1838" s="592"/>
      <c r="G1838" s="593"/>
    </row>
    <row r="1839" spans="1:7" ht="76.5">
      <c r="A1839" s="399" t="s">
        <v>549</v>
      </c>
      <c r="B1839" s="394" t="s">
        <v>1251</v>
      </c>
      <c r="C1839" s="395" t="s">
        <v>72</v>
      </c>
      <c r="D1839" s="395" t="s">
        <v>75</v>
      </c>
      <c r="E1839" s="454"/>
      <c r="F1839" s="455"/>
      <c r="G1839" s="456"/>
    </row>
    <row r="1840" spans="1:7" ht="25.5">
      <c r="A1840" s="396" t="s">
        <v>549</v>
      </c>
      <c r="B1840" s="397" t="s">
        <v>550</v>
      </c>
      <c r="C1840" s="398" t="s">
        <v>73</v>
      </c>
      <c r="D1840" s="398" t="s">
        <v>75</v>
      </c>
      <c r="E1840" s="466">
        <v>1</v>
      </c>
      <c r="F1840" s="467">
        <v>75</v>
      </c>
      <c r="G1840" s="436">
        <f>E1840*F1840</f>
        <v>75</v>
      </c>
    </row>
    <row r="1841" spans="1:7" ht="25.5">
      <c r="A1841" s="396" t="s">
        <v>471</v>
      </c>
      <c r="B1841" s="397" t="s">
        <v>1125</v>
      </c>
      <c r="C1841" s="398" t="s">
        <v>72</v>
      </c>
      <c r="D1841" s="398" t="s">
        <v>77</v>
      </c>
      <c r="E1841" s="466">
        <v>3.5</v>
      </c>
      <c r="F1841" s="467">
        <v>13.15</v>
      </c>
      <c r="G1841" s="436">
        <f>E1841*F1841</f>
        <v>46.025</v>
      </c>
    </row>
    <row r="1842" spans="1:7" ht="25.5">
      <c r="A1842" s="396" t="s">
        <v>932</v>
      </c>
      <c r="B1842" s="397" t="s">
        <v>1126</v>
      </c>
      <c r="C1842" s="398" t="s">
        <v>72</v>
      </c>
      <c r="D1842" s="398" t="s">
        <v>77</v>
      </c>
      <c r="E1842" s="466">
        <v>3.5</v>
      </c>
      <c r="F1842" s="467">
        <v>11.49</v>
      </c>
      <c r="G1842" s="436">
        <f>E1842*F1842</f>
        <v>40.215</v>
      </c>
    </row>
    <row r="1843" spans="1:7" ht="12.75">
      <c r="A1843" s="831" t="s">
        <v>439</v>
      </c>
      <c r="B1843" s="832"/>
      <c r="C1843" s="832"/>
      <c r="D1843" s="832"/>
      <c r="E1843" s="832"/>
      <c r="F1843" s="832"/>
      <c r="G1843" s="440">
        <f>SUM(G1841:G1842)</f>
        <v>86.24000000000001</v>
      </c>
    </row>
    <row r="1844" spans="1:7" ht="12.75">
      <c r="A1844" s="831" t="s">
        <v>440</v>
      </c>
      <c r="B1844" s="832"/>
      <c r="C1844" s="832"/>
      <c r="D1844" s="832"/>
      <c r="E1844" s="832"/>
      <c r="F1844" s="832"/>
      <c r="G1844" s="440">
        <f>SUM(G1840)</f>
        <v>75</v>
      </c>
    </row>
    <row r="1845" spans="1:7" ht="12.75">
      <c r="A1845" s="831" t="s">
        <v>441</v>
      </c>
      <c r="B1845" s="832"/>
      <c r="C1845" s="832"/>
      <c r="D1845" s="832"/>
      <c r="E1845" s="832"/>
      <c r="F1845" s="832"/>
      <c r="G1845" s="440">
        <f>SUM(G1843:G1844)</f>
        <v>161.24</v>
      </c>
    </row>
    <row r="1846" spans="1:7" ht="12.75">
      <c r="A1846" s="831" t="s">
        <v>442</v>
      </c>
      <c r="B1846" s="832"/>
      <c r="C1846" s="832"/>
      <c r="D1846" s="832"/>
      <c r="E1846" s="832"/>
      <c r="F1846" s="832"/>
      <c r="G1846" s="440">
        <f>G1843*85.16%</f>
        <v>73.441984</v>
      </c>
    </row>
    <row r="1847" spans="1:7" ht="12.75">
      <c r="A1847" s="831" t="s">
        <v>443</v>
      </c>
      <c r="B1847" s="832"/>
      <c r="C1847" s="832"/>
      <c r="D1847" s="832"/>
      <c r="E1847" s="832"/>
      <c r="F1847" s="832"/>
      <c r="G1847" s="440">
        <f>G1846</f>
        <v>73.441984</v>
      </c>
    </row>
    <row r="1848" spans="1:7" ht="12.75">
      <c r="A1848" s="833" t="s">
        <v>444</v>
      </c>
      <c r="B1848" s="834"/>
      <c r="C1848" s="834"/>
      <c r="D1848" s="834"/>
      <c r="E1848" s="834"/>
      <c r="F1848" s="835"/>
      <c r="G1848" s="440">
        <f>G1844</f>
        <v>75</v>
      </c>
    </row>
    <row r="1849" spans="1:7" ht="12.75">
      <c r="A1849" s="833" t="s">
        <v>445</v>
      </c>
      <c r="B1849" s="834"/>
      <c r="C1849" s="834"/>
      <c r="D1849" s="834"/>
      <c r="E1849" s="834"/>
      <c r="F1849" s="835"/>
      <c r="G1849" s="440">
        <f>G1843+G1847</f>
        <v>159.681984</v>
      </c>
    </row>
    <row r="1850" spans="1:7" ht="12.75">
      <c r="A1850" s="833" t="s">
        <v>446</v>
      </c>
      <c r="B1850" s="834"/>
      <c r="C1850" s="834"/>
      <c r="D1850" s="834"/>
      <c r="E1850" s="834"/>
      <c r="F1850" s="835"/>
      <c r="G1850" s="440">
        <f>SUM(G1848:G1849)</f>
        <v>234.681984</v>
      </c>
    </row>
    <row r="1851" spans="1:7" ht="12.75">
      <c r="A1851" s="371"/>
      <c r="B1851" s="372"/>
      <c r="C1851" s="372"/>
      <c r="D1851" s="372"/>
      <c r="E1851" s="457"/>
      <c r="F1851" s="457"/>
      <c r="G1851" s="458"/>
    </row>
    <row r="1852" spans="1:7" ht="12.75">
      <c r="A1852" s="804"/>
      <c r="B1852" s="805"/>
      <c r="C1852" s="805"/>
      <c r="D1852" s="805"/>
      <c r="E1852" s="805"/>
      <c r="F1852" s="805"/>
      <c r="G1852" s="806"/>
    </row>
    <row r="1853" spans="1:7" ht="12.75">
      <c r="A1853" s="597" t="s">
        <v>1546</v>
      </c>
      <c r="B1853" s="597" t="s">
        <v>1545</v>
      </c>
      <c r="C1853" s="595"/>
      <c r="D1853" s="595"/>
      <c r="E1853" s="595"/>
      <c r="F1853" s="595"/>
      <c r="G1853" s="596"/>
    </row>
    <row r="1854" spans="1:7" ht="12.75">
      <c r="A1854" s="597" t="s">
        <v>1548</v>
      </c>
      <c r="B1854" s="597" t="s">
        <v>1530</v>
      </c>
      <c r="C1854" s="595"/>
      <c r="D1854" s="595"/>
      <c r="E1854" s="595"/>
      <c r="F1854" s="595"/>
      <c r="G1854" s="596"/>
    </row>
    <row r="1855" spans="1:7" ht="12.75">
      <c r="A1855" s="597" t="s">
        <v>1763</v>
      </c>
      <c r="B1855" s="597"/>
      <c r="C1855" s="595"/>
      <c r="D1855" s="595"/>
      <c r="E1855" s="595"/>
      <c r="F1855" s="595"/>
      <c r="G1855" s="596"/>
    </row>
    <row r="1856" spans="1:7" ht="51">
      <c r="A1856" s="171" t="s">
        <v>681</v>
      </c>
      <c r="B1856" s="182" t="s">
        <v>233</v>
      </c>
      <c r="C1856" s="172" t="s">
        <v>72</v>
      </c>
      <c r="D1856" s="172" t="s">
        <v>75</v>
      </c>
      <c r="E1856" s="373"/>
      <c r="F1856" s="374"/>
      <c r="G1856" s="375"/>
    </row>
    <row r="1857" spans="1:7" ht="38.25">
      <c r="A1857" s="173" t="s">
        <v>682</v>
      </c>
      <c r="B1857" s="174" t="s">
        <v>683</v>
      </c>
      <c r="C1857" s="175" t="s">
        <v>73</v>
      </c>
      <c r="D1857" s="175" t="s">
        <v>75</v>
      </c>
      <c r="E1857" s="434">
        <v>1</v>
      </c>
      <c r="F1857" s="435">
        <v>82.67</v>
      </c>
      <c r="G1857" s="436">
        <f>E1857*F1857</f>
        <v>82.67</v>
      </c>
    </row>
    <row r="1858" spans="1:7" ht="51">
      <c r="A1858" s="173" t="s">
        <v>639</v>
      </c>
      <c r="B1858" s="174" t="s">
        <v>640</v>
      </c>
      <c r="C1858" s="175" t="s">
        <v>73</v>
      </c>
      <c r="D1858" s="175" t="s">
        <v>75</v>
      </c>
      <c r="E1858" s="434">
        <v>0.1</v>
      </c>
      <c r="F1858" s="435">
        <v>15.21</v>
      </c>
      <c r="G1858" s="436">
        <f>E1858*F1858</f>
        <v>1.5210000000000001</v>
      </c>
    </row>
    <row r="1859" spans="1:7" ht="38.25">
      <c r="A1859" s="173" t="s">
        <v>684</v>
      </c>
      <c r="B1859" s="174" t="s">
        <v>685</v>
      </c>
      <c r="C1859" s="175" t="s">
        <v>73</v>
      </c>
      <c r="D1859" s="175" t="s">
        <v>75</v>
      </c>
      <c r="E1859" s="434">
        <v>1</v>
      </c>
      <c r="F1859" s="435">
        <v>5.54</v>
      </c>
      <c r="G1859" s="436">
        <f>E1859*F1859</f>
        <v>5.54</v>
      </c>
    </row>
    <row r="1860" spans="1:7" ht="38.25">
      <c r="A1860" s="173" t="s">
        <v>492</v>
      </c>
      <c r="B1860" s="174" t="s">
        <v>493</v>
      </c>
      <c r="C1860" s="175" t="s">
        <v>72</v>
      </c>
      <c r="D1860" s="175" t="s">
        <v>77</v>
      </c>
      <c r="E1860" s="434">
        <v>0.53</v>
      </c>
      <c r="F1860" s="435">
        <v>12.86</v>
      </c>
      <c r="G1860" s="436">
        <f>E1860*F1860</f>
        <v>6.8158</v>
      </c>
    </row>
    <row r="1861" spans="1:7" ht="25.5">
      <c r="A1861" s="173" t="s">
        <v>494</v>
      </c>
      <c r="B1861" s="174" t="s">
        <v>495</v>
      </c>
      <c r="C1861" s="175" t="s">
        <v>72</v>
      </c>
      <c r="D1861" s="175" t="s">
        <v>77</v>
      </c>
      <c r="E1861" s="434">
        <v>0.53</v>
      </c>
      <c r="F1861" s="435">
        <v>15.12</v>
      </c>
      <c r="G1861" s="436">
        <f>E1861*F1861</f>
        <v>8.0136</v>
      </c>
    </row>
    <row r="1862" spans="1:7" ht="12.75">
      <c r="A1862" s="783" t="s">
        <v>439</v>
      </c>
      <c r="B1862" s="784"/>
      <c r="C1862" s="784"/>
      <c r="D1862" s="784"/>
      <c r="E1862" s="784"/>
      <c r="F1862" s="784"/>
      <c r="G1862" s="440">
        <f>SUM(G1860:G1861)</f>
        <v>14.8294</v>
      </c>
    </row>
    <row r="1863" spans="1:7" ht="12.75">
      <c r="A1863" s="783" t="s">
        <v>440</v>
      </c>
      <c r="B1863" s="784"/>
      <c r="C1863" s="784"/>
      <c r="D1863" s="784"/>
      <c r="E1863" s="784"/>
      <c r="F1863" s="784"/>
      <c r="G1863" s="440">
        <f>SUM(G1857:G1859)</f>
        <v>89.73100000000001</v>
      </c>
    </row>
    <row r="1864" spans="1:7" ht="12.75">
      <c r="A1864" s="783" t="s">
        <v>441</v>
      </c>
      <c r="B1864" s="784"/>
      <c r="C1864" s="784"/>
      <c r="D1864" s="784"/>
      <c r="E1864" s="784"/>
      <c r="F1864" s="784"/>
      <c r="G1864" s="440">
        <f>SUM(G1862:G1863)</f>
        <v>104.56040000000002</v>
      </c>
    </row>
    <row r="1865" spans="1:7" ht="12.75">
      <c r="A1865" s="783" t="s">
        <v>442</v>
      </c>
      <c r="B1865" s="784"/>
      <c r="C1865" s="784"/>
      <c r="D1865" s="784"/>
      <c r="E1865" s="784"/>
      <c r="F1865" s="784"/>
      <c r="G1865" s="440">
        <f>G1862*85.16%</f>
        <v>12.628717039999998</v>
      </c>
    </row>
    <row r="1866" spans="1:7" ht="12.75">
      <c r="A1866" s="783" t="s">
        <v>443</v>
      </c>
      <c r="B1866" s="784"/>
      <c r="C1866" s="784"/>
      <c r="D1866" s="784"/>
      <c r="E1866" s="784"/>
      <c r="F1866" s="784"/>
      <c r="G1866" s="440">
        <f>G1865</f>
        <v>12.628717039999998</v>
      </c>
    </row>
    <row r="1867" spans="1:7" ht="12.75">
      <c r="A1867" s="785" t="s">
        <v>444</v>
      </c>
      <c r="B1867" s="786"/>
      <c r="C1867" s="786"/>
      <c r="D1867" s="786"/>
      <c r="E1867" s="786"/>
      <c r="F1867" s="787"/>
      <c r="G1867" s="440">
        <f>G1863</f>
        <v>89.73100000000001</v>
      </c>
    </row>
    <row r="1868" spans="1:7" ht="12.75">
      <c r="A1868" s="785" t="s">
        <v>445</v>
      </c>
      <c r="B1868" s="786"/>
      <c r="C1868" s="786"/>
      <c r="D1868" s="786"/>
      <c r="E1868" s="786"/>
      <c r="F1868" s="787"/>
      <c r="G1868" s="440">
        <f>G1862+G1866</f>
        <v>27.458117039999998</v>
      </c>
    </row>
    <row r="1869" spans="1:7" ht="12.75">
      <c r="A1869" s="785" t="s">
        <v>446</v>
      </c>
      <c r="B1869" s="786"/>
      <c r="C1869" s="786"/>
      <c r="D1869" s="786"/>
      <c r="E1869" s="786"/>
      <c r="F1869" s="787"/>
      <c r="G1869" s="440">
        <f>SUM(G1867:G1868)</f>
        <v>117.18911704000001</v>
      </c>
    </row>
    <row r="1870" spans="1:7" ht="12.75">
      <c r="A1870" s="491" t="s">
        <v>83</v>
      </c>
      <c r="B1870" s="799" t="s">
        <v>1279</v>
      </c>
      <c r="C1870" s="799"/>
      <c r="D1870" s="799"/>
      <c r="E1870" s="799"/>
      <c r="F1870" s="799"/>
      <c r="G1870" s="800"/>
    </row>
    <row r="1871" spans="1:7" ht="12.75">
      <c r="A1871" s="804"/>
      <c r="B1871" s="805"/>
      <c r="C1871" s="805"/>
      <c r="D1871" s="805"/>
      <c r="E1871" s="805"/>
      <c r="F1871" s="805"/>
      <c r="G1871" s="806"/>
    </row>
    <row r="1872" spans="1:7" ht="12.75">
      <c r="A1872" s="597" t="s">
        <v>1559</v>
      </c>
      <c r="B1872" s="597" t="s">
        <v>1560</v>
      </c>
      <c r="C1872" s="597"/>
      <c r="D1872" s="597"/>
      <c r="E1872" s="597"/>
      <c r="F1872" s="597"/>
      <c r="G1872" s="597"/>
    </row>
    <row r="1873" spans="1:7" ht="12.75">
      <c r="A1873" s="597" t="s">
        <v>1572</v>
      </c>
      <c r="B1873" s="597" t="s">
        <v>1573</v>
      </c>
      <c r="C1873" s="597"/>
      <c r="D1873" s="597"/>
      <c r="E1873" s="597"/>
      <c r="F1873" s="597"/>
      <c r="G1873" s="597"/>
    </row>
    <row r="1874" spans="1:7" ht="12.75">
      <c r="A1874" s="597" t="s">
        <v>1729</v>
      </c>
      <c r="B1874" s="597"/>
      <c r="C1874" s="597"/>
      <c r="D1874" s="597"/>
      <c r="E1874" s="597"/>
      <c r="F1874" s="597"/>
      <c r="G1874" s="597"/>
    </row>
    <row r="1875" spans="1:7" ht="76.5">
      <c r="A1875" s="171" t="s">
        <v>707</v>
      </c>
      <c r="B1875" s="182" t="s">
        <v>708</v>
      </c>
      <c r="C1875" s="172" t="s">
        <v>72</v>
      </c>
      <c r="D1875" s="172" t="s">
        <v>75</v>
      </c>
      <c r="E1875" s="373"/>
      <c r="F1875" s="374"/>
      <c r="G1875" s="375"/>
    </row>
    <row r="1876" spans="1:7" ht="25.5">
      <c r="A1876" s="173" t="s">
        <v>703</v>
      </c>
      <c r="B1876" s="174" t="s">
        <v>704</v>
      </c>
      <c r="C1876" s="175" t="s">
        <v>73</v>
      </c>
      <c r="D1876" s="175" t="s">
        <v>75</v>
      </c>
      <c r="E1876" s="434">
        <v>0.038</v>
      </c>
      <c r="F1876" s="435">
        <v>9.4</v>
      </c>
      <c r="G1876" s="436">
        <f>E1876*F1876</f>
        <v>0.3572</v>
      </c>
    </row>
    <row r="1877" spans="1:7" ht="25.5">
      <c r="A1877" s="173" t="s">
        <v>709</v>
      </c>
      <c r="B1877" s="174" t="s">
        <v>710</v>
      </c>
      <c r="C1877" s="175" t="s">
        <v>73</v>
      </c>
      <c r="D1877" s="175" t="s">
        <v>75</v>
      </c>
      <c r="E1877" s="434">
        <v>1</v>
      </c>
      <c r="F1877" s="435">
        <v>48.07</v>
      </c>
      <c r="G1877" s="436">
        <f>E1877*F1877</f>
        <v>48.07</v>
      </c>
    </row>
    <row r="1878" spans="1:7" ht="38.25">
      <c r="A1878" s="173" t="s">
        <v>492</v>
      </c>
      <c r="B1878" s="174" t="s">
        <v>493</v>
      </c>
      <c r="C1878" s="175" t="s">
        <v>72</v>
      </c>
      <c r="D1878" s="175" t="s">
        <v>77</v>
      </c>
      <c r="E1878" s="434">
        <v>0.8185</v>
      </c>
      <c r="F1878" s="435">
        <v>12.86</v>
      </c>
      <c r="G1878" s="436">
        <f>E1878*F1878</f>
        <v>10.52591</v>
      </c>
    </row>
    <row r="1879" spans="1:7" ht="25.5">
      <c r="A1879" s="173" t="s">
        <v>494</v>
      </c>
      <c r="B1879" s="174" t="s">
        <v>495</v>
      </c>
      <c r="C1879" s="175" t="s">
        <v>72</v>
      </c>
      <c r="D1879" s="175" t="s">
        <v>77</v>
      </c>
      <c r="E1879" s="434">
        <v>0.818</v>
      </c>
      <c r="F1879" s="435">
        <v>15.12</v>
      </c>
      <c r="G1879" s="436">
        <f>E1879*F1879</f>
        <v>12.368159999999998</v>
      </c>
    </row>
    <row r="1880" spans="1:7" ht="12.75">
      <c r="A1880" s="783" t="s">
        <v>439</v>
      </c>
      <c r="B1880" s="784"/>
      <c r="C1880" s="784"/>
      <c r="D1880" s="784"/>
      <c r="E1880" s="784"/>
      <c r="F1880" s="784"/>
      <c r="G1880" s="440">
        <f>SUM(G1878:G1879)</f>
        <v>22.89407</v>
      </c>
    </row>
    <row r="1881" spans="1:7" ht="12.75">
      <c r="A1881" s="783" t="s">
        <v>440</v>
      </c>
      <c r="B1881" s="784"/>
      <c r="C1881" s="784"/>
      <c r="D1881" s="784"/>
      <c r="E1881" s="784"/>
      <c r="F1881" s="784"/>
      <c r="G1881" s="440">
        <f>SUM(G1876:G1877)</f>
        <v>48.4272</v>
      </c>
    </row>
    <row r="1882" spans="1:7" ht="12.75">
      <c r="A1882" s="783" t="s">
        <v>441</v>
      </c>
      <c r="B1882" s="784"/>
      <c r="C1882" s="784"/>
      <c r="D1882" s="784"/>
      <c r="E1882" s="784"/>
      <c r="F1882" s="784"/>
      <c r="G1882" s="440">
        <f>SUM(G1880:G1881)</f>
        <v>71.32127</v>
      </c>
    </row>
    <row r="1883" spans="1:7" ht="12.75">
      <c r="A1883" s="783" t="s">
        <v>442</v>
      </c>
      <c r="B1883" s="784"/>
      <c r="C1883" s="784"/>
      <c r="D1883" s="784"/>
      <c r="E1883" s="784"/>
      <c r="F1883" s="784"/>
      <c r="G1883" s="440">
        <f>G1880*85.16%</f>
        <v>19.496590012</v>
      </c>
    </row>
    <row r="1884" spans="1:7" ht="12.75">
      <c r="A1884" s="783" t="s">
        <v>443</v>
      </c>
      <c r="B1884" s="784"/>
      <c r="C1884" s="784"/>
      <c r="D1884" s="784"/>
      <c r="E1884" s="784"/>
      <c r="F1884" s="784"/>
      <c r="G1884" s="440">
        <f>G1883</f>
        <v>19.496590012</v>
      </c>
    </row>
    <row r="1885" spans="1:7" ht="12.75">
      <c r="A1885" s="785" t="s">
        <v>444</v>
      </c>
      <c r="B1885" s="786"/>
      <c r="C1885" s="786"/>
      <c r="D1885" s="786"/>
      <c r="E1885" s="786"/>
      <c r="F1885" s="787"/>
      <c r="G1885" s="440">
        <f>G1881</f>
        <v>48.4272</v>
      </c>
    </row>
    <row r="1886" spans="1:7" ht="12.75">
      <c r="A1886" s="785" t="s">
        <v>445</v>
      </c>
      <c r="B1886" s="786"/>
      <c r="C1886" s="786"/>
      <c r="D1886" s="786"/>
      <c r="E1886" s="786"/>
      <c r="F1886" s="787"/>
      <c r="G1886" s="440">
        <f>G1880+G1884</f>
        <v>42.390660012</v>
      </c>
    </row>
    <row r="1887" spans="1:7" ht="12.75">
      <c r="A1887" s="785" t="s">
        <v>446</v>
      </c>
      <c r="B1887" s="786"/>
      <c r="C1887" s="786"/>
      <c r="D1887" s="786"/>
      <c r="E1887" s="786"/>
      <c r="F1887" s="787"/>
      <c r="G1887" s="440">
        <f>SUM(G1885:G1886)</f>
        <v>90.817860012</v>
      </c>
    </row>
    <row r="1888" spans="1:7" ht="12.75">
      <c r="A1888" s="796"/>
      <c r="B1888" s="797"/>
      <c r="C1888" s="797"/>
      <c r="D1888" s="797"/>
      <c r="E1888" s="797"/>
      <c r="F1888" s="797"/>
      <c r="G1888" s="798"/>
    </row>
    <row r="1889" spans="1:7" ht="12.75">
      <c r="A1889" s="597" t="s">
        <v>1525</v>
      </c>
      <c r="B1889" s="597" t="s">
        <v>1526</v>
      </c>
      <c r="C1889" s="592"/>
      <c r="D1889" s="592"/>
      <c r="E1889" s="592"/>
      <c r="F1889" s="592"/>
      <c r="G1889" s="593"/>
    </row>
    <row r="1890" spans="1:7" ht="25.5">
      <c r="A1890" s="597" t="s">
        <v>1519</v>
      </c>
      <c r="B1890" s="597" t="s">
        <v>1520</v>
      </c>
      <c r="C1890" s="592"/>
      <c r="D1890" s="592"/>
      <c r="E1890" s="592"/>
      <c r="F1890" s="592"/>
      <c r="G1890" s="593"/>
    </row>
    <row r="1891" spans="1:7" ht="12.75">
      <c r="A1891" s="597" t="s">
        <v>1523</v>
      </c>
      <c r="B1891" s="597" t="s">
        <v>1524</v>
      </c>
      <c r="C1891" s="592"/>
      <c r="D1891" s="592"/>
      <c r="E1891" s="592"/>
      <c r="F1891" s="592"/>
      <c r="G1891" s="593"/>
    </row>
    <row r="1892" spans="1:7" ht="12.75">
      <c r="A1892" s="597" t="s">
        <v>1696</v>
      </c>
      <c r="B1892" s="597"/>
      <c r="C1892" s="592"/>
      <c r="D1892" s="592"/>
      <c r="E1892" s="592"/>
      <c r="F1892" s="592"/>
      <c r="G1892" s="593"/>
    </row>
    <row r="1893" spans="1:7" ht="102">
      <c r="A1893" s="171" t="s">
        <v>1234</v>
      </c>
      <c r="B1893" s="299" t="s">
        <v>1228</v>
      </c>
      <c r="C1893" s="172" t="s">
        <v>72</v>
      </c>
      <c r="D1893" s="172" t="s">
        <v>75</v>
      </c>
      <c r="E1893" s="373"/>
      <c r="F1893" s="374"/>
      <c r="G1893" s="375"/>
    </row>
    <row r="1894" spans="1:7" ht="38.25">
      <c r="A1894" s="173">
        <v>104</v>
      </c>
      <c r="B1894" s="174" t="s">
        <v>1229</v>
      </c>
      <c r="C1894" s="175" t="s">
        <v>1230</v>
      </c>
      <c r="D1894" s="175" t="s">
        <v>75</v>
      </c>
      <c r="E1894" s="434">
        <v>1</v>
      </c>
      <c r="F1894" s="435">
        <v>12.53</v>
      </c>
      <c r="G1894" s="436">
        <f aca="true" t="shared" si="12" ref="G1894:G1899">E1894*F1894</f>
        <v>12.53</v>
      </c>
    </row>
    <row r="1895" spans="1:7" ht="25.5">
      <c r="A1895" s="173">
        <v>20080</v>
      </c>
      <c r="B1895" s="174" t="s">
        <v>1233</v>
      </c>
      <c r="C1895" s="175" t="s">
        <v>1230</v>
      </c>
      <c r="D1895" s="175" t="s">
        <v>75</v>
      </c>
      <c r="E1895" s="434">
        <v>0.154</v>
      </c>
      <c r="F1895" s="435">
        <v>13.19</v>
      </c>
      <c r="G1895" s="436">
        <f t="shared" si="12"/>
        <v>2.03126</v>
      </c>
    </row>
    <row r="1896" spans="1:7" ht="25.5">
      <c r="A1896" s="173">
        <v>20083</v>
      </c>
      <c r="B1896" s="174" t="s">
        <v>580</v>
      </c>
      <c r="C1896" s="175" t="s">
        <v>1230</v>
      </c>
      <c r="D1896" s="175" t="s">
        <v>75</v>
      </c>
      <c r="E1896" s="434">
        <v>0.041</v>
      </c>
      <c r="F1896" s="435">
        <v>36.08</v>
      </c>
      <c r="G1896" s="436">
        <f t="shared" si="12"/>
        <v>1.47928</v>
      </c>
    </row>
    <row r="1897" spans="1:7" ht="12.75">
      <c r="A1897" s="173">
        <v>38383</v>
      </c>
      <c r="B1897" s="174" t="s">
        <v>584</v>
      </c>
      <c r="C1897" s="175" t="s">
        <v>1230</v>
      </c>
      <c r="D1897" s="175" t="s">
        <v>75</v>
      </c>
      <c r="E1897" s="434">
        <v>0.018</v>
      </c>
      <c r="F1897" s="435">
        <v>1.52</v>
      </c>
      <c r="G1897" s="436">
        <f t="shared" si="12"/>
        <v>0.02736</v>
      </c>
    </row>
    <row r="1898" spans="1:7" ht="38.25">
      <c r="A1898" s="173" t="s">
        <v>1231</v>
      </c>
      <c r="B1898" s="174" t="s">
        <v>493</v>
      </c>
      <c r="C1898" s="175" t="s">
        <v>72</v>
      </c>
      <c r="D1898" s="175" t="s">
        <v>77</v>
      </c>
      <c r="E1898" s="434">
        <v>0.184</v>
      </c>
      <c r="F1898" s="435">
        <v>12.86</v>
      </c>
      <c r="G1898" s="436">
        <f t="shared" si="12"/>
        <v>2.36624</v>
      </c>
    </row>
    <row r="1899" spans="1:7" ht="25.5">
      <c r="A1899" s="173" t="s">
        <v>1232</v>
      </c>
      <c r="B1899" s="174" t="s">
        <v>495</v>
      </c>
      <c r="C1899" s="175" t="s">
        <v>72</v>
      </c>
      <c r="D1899" s="175" t="s">
        <v>77</v>
      </c>
      <c r="E1899" s="434">
        <v>0.184</v>
      </c>
      <c r="F1899" s="435">
        <v>15.12</v>
      </c>
      <c r="G1899" s="436">
        <f t="shared" si="12"/>
        <v>2.7820799999999997</v>
      </c>
    </row>
    <row r="1900" spans="1:7" ht="12.75">
      <c r="A1900" s="783" t="s">
        <v>439</v>
      </c>
      <c r="B1900" s="784"/>
      <c r="C1900" s="784"/>
      <c r="D1900" s="784"/>
      <c r="E1900" s="784"/>
      <c r="F1900" s="784"/>
      <c r="G1900" s="440">
        <f>SUM(G1898:G1899)</f>
        <v>5.14832</v>
      </c>
    </row>
    <row r="1901" spans="1:7" ht="12.75">
      <c r="A1901" s="783" t="s">
        <v>440</v>
      </c>
      <c r="B1901" s="784"/>
      <c r="C1901" s="784"/>
      <c r="D1901" s="784"/>
      <c r="E1901" s="784"/>
      <c r="F1901" s="784"/>
      <c r="G1901" s="440">
        <f>SUM(G1894:G1897)</f>
        <v>16.0679</v>
      </c>
    </row>
    <row r="1902" spans="1:7" ht="12.75">
      <c r="A1902" s="783" t="s">
        <v>441</v>
      </c>
      <c r="B1902" s="784"/>
      <c r="C1902" s="784"/>
      <c r="D1902" s="784"/>
      <c r="E1902" s="784"/>
      <c r="F1902" s="784"/>
      <c r="G1902" s="440">
        <f>SUM(G1900:G1901)</f>
        <v>21.21622</v>
      </c>
    </row>
    <row r="1903" spans="1:7" ht="12.75">
      <c r="A1903" s="783" t="s">
        <v>442</v>
      </c>
      <c r="B1903" s="784"/>
      <c r="C1903" s="784"/>
      <c r="D1903" s="784"/>
      <c r="E1903" s="784"/>
      <c r="F1903" s="784"/>
      <c r="G1903" s="440">
        <f>G1900*85.16%</f>
        <v>4.384309311999999</v>
      </c>
    </row>
    <row r="1904" spans="1:7" ht="12.75">
      <c r="A1904" s="783" t="s">
        <v>443</v>
      </c>
      <c r="B1904" s="784"/>
      <c r="C1904" s="784"/>
      <c r="D1904" s="784"/>
      <c r="E1904" s="784"/>
      <c r="F1904" s="784"/>
      <c r="G1904" s="440">
        <f>G1903</f>
        <v>4.384309311999999</v>
      </c>
    </row>
    <row r="1905" spans="1:7" ht="12.75">
      <c r="A1905" s="785" t="s">
        <v>444</v>
      </c>
      <c r="B1905" s="786"/>
      <c r="C1905" s="786"/>
      <c r="D1905" s="786"/>
      <c r="E1905" s="786"/>
      <c r="F1905" s="787"/>
      <c r="G1905" s="440">
        <f>G1901</f>
        <v>16.0679</v>
      </c>
    </row>
    <row r="1906" spans="1:7" ht="12.75">
      <c r="A1906" s="785" t="s">
        <v>445</v>
      </c>
      <c r="B1906" s="786"/>
      <c r="C1906" s="786"/>
      <c r="D1906" s="786"/>
      <c r="E1906" s="786"/>
      <c r="F1906" s="787"/>
      <c r="G1906" s="440">
        <f>G1900+G1904</f>
        <v>9.532629312</v>
      </c>
    </row>
    <row r="1907" spans="1:7" ht="12.75">
      <c r="A1907" s="785" t="s">
        <v>446</v>
      </c>
      <c r="B1907" s="786"/>
      <c r="C1907" s="786"/>
      <c r="D1907" s="786"/>
      <c r="E1907" s="786"/>
      <c r="F1907" s="787"/>
      <c r="G1907" s="440">
        <f>SUM(G1905:G1906)</f>
        <v>25.600529312</v>
      </c>
    </row>
    <row r="1908" spans="1:7" ht="12.75">
      <c r="A1908" s="804"/>
      <c r="B1908" s="805"/>
      <c r="C1908" s="805"/>
      <c r="D1908" s="805"/>
      <c r="E1908" s="805"/>
      <c r="F1908" s="805"/>
      <c r="G1908" s="806"/>
    </row>
    <row r="1909" spans="1:7" ht="12.75">
      <c r="A1909" s="594"/>
      <c r="B1909" s="595"/>
      <c r="C1909" s="595"/>
      <c r="D1909" s="595"/>
      <c r="E1909" s="595"/>
      <c r="F1909" s="595"/>
      <c r="G1909" s="596"/>
    </row>
    <row r="1910" spans="1:7" ht="12.75">
      <c r="A1910" s="597" t="s">
        <v>1559</v>
      </c>
      <c r="B1910" s="597" t="s">
        <v>1560</v>
      </c>
      <c r="C1910" s="595"/>
      <c r="D1910" s="595"/>
      <c r="E1910" s="595"/>
      <c r="F1910" s="595"/>
      <c r="G1910" s="596"/>
    </row>
    <row r="1911" spans="1:7" ht="12.75">
      <c r="A1911" s="597" t="s">
        <v>1572</v>
      </c>
      <c r="B1911" s="597" t="s">
        <v>1573</v>
      </c>
      <c r="C1911" s="595"/>
      <c r="D1911" s="595"/>
      <c r="E1911" s="595"/>
      <c r="F1911" s="595"/>
      <c r="G1911" s="596"/>
    </row>
    <row r="1912" spans="1:7" ht="12.75">
      <c r="A1912" s="597" t="s">
        <v>1730</v>
      </c>
      <c r="B1912" s="597"/>
      <c r="C1912" s="595"/>
      <c r="D1912" s="595"/>
      <c r="E1912" s="595"/>
      <c r="F1912" s="595"/>
      <c r="G1912" s="596"/>
    </row>
    <row r="1913" spans="1:7" ht="76.5">
      <c r="A1913" s="171" t="s">
        <v>711</v>
      </c>
      <c r="B1913" s="182" t="s">
        <v>712</v>
      </c>
      <c r="C1913" s="172" t="s">
        <v>72</v>
      </c>
      <c r="D1913" s="172" t="s">
        <v>75</v>
      </c>
      <c r="E1913" s="373"/>
      <c r="F1913" s="374"/>
      <c r="G1913" s="375"/>
    </row>
    <row r="1914" spans="1:7" ht="25.5">
      <c r="A1914" s="173" t="s">
        <v>703</v>
      </c>
      <c r="B1914" s="174" t="s">
        <v>704</v>
      </c>
      <c r="C1914" s="175" t="s">
        <v>73</v>
      </c>
      <c r="D1914" s="175" t="s">
        <v>75</v>
      </c>
      <c r="E1914" s="434">
        <v>0.038</v>
      </c>
      <c r="F1914" s="435">
        <v>9.4</v>
      </c>
      <c r="G1914" s="436">
        <f>E1914*F1914</f>
        <v>0.3572</v>
      </c>
    </row>
    <row r="1915" spans="1:7" ht="25.5">
      <c r="A1915" s="173" t="s">
        <v>713</v>
      </c>
      <c r="B1915" s="174" t="s">
        <v>714</v>
      </c>
      <c r="C1915" s="175" t="s">
        <v>73</v>
      </c>
      <c r="D1915" s="175" t="s">
        <v>75</v>
      </c>
      <c r="E1915" s="434">
        <v>1</v>
      </c>
      <c r="F1915" s="435">
        <v>99.69</v>
      </c>
      <c r="G1915" s="436">
        <f>E1915*F1915</f>
        <v>99.69</v>
      </c>
    </row>
    <row r="1916" spans="1:7" ht="38.25">
      <c r="A1916" s="173" t="s">
        <v>492</v>
      </c>
      <c r="B1916" s="174" t="s">
        <v>493</v>
      </c>
      <c r="C1916" s="175" t="s">
        <v>72</v>
      </c>
      <c r="D1916" s="175" t="s">
        <v>77</v>
      </c>
      <c r="E1916" s="434">
        <v>0.818</v>
      </c>
      <c r="F1916" s="435">
        <v>12.86</v>
      </c>
      <c r="G1916" s="436">
        <f>E1916*F1916</f>
        <v>10.51948</v>
      </c>
    </row>
    <row r="1917" spans="1:7" ht="25.5">
      <c r="A1917" s="173" t="s">
        <v>494</v>
      </c>
      <c r="B1917" s="174" t="s">
        <v>495</v>
      </c>
      <c r="C1917" s="175" t="s">
        <v>72</v>
      </c>
      <c r="D1917" s="175" t="s">
        <v>77</v>
      </c>
      <c r="E1917" s="434">
        <v>0.818</v>
      </c>
      <c r="F1917" s="435">
        <v>15.12</v>
      </c>
      <c r="G1917" s="436">
        <f>E1917*F1917</f>
        <v>12.368159999999998</v>
      </c>
    </row>
    <row r="1918" spans="1:7" ht="12.75">
      <c r="A1918" s="783" t="s">
        <v>439</v>
      </c>
      <c r="B1918" s="784"/>
      <c r="C1918" s="784"/>
      <c r="D1918" s="784"/>
      <c r="E1918" s="784"/>
      <c r="F1918" s="784"/>
      <c r="G1918" s="440">
        <f>SUM(G1916:G1917)</f>
        <v>22.887639999999998</v>
      </c>
    </row>
    <row r="1919" spans="1:7" ht="12.75">
      <c r="A1919" s="783" t="s">
        <v>440</v>
      </c>
      <c r="B1919" s="784"/>
      <c r="C1919" s="784"/>
      <c r="D1919" s="784"/>
      <c r="E1919" s="784"/>
      <c r="F1919" s="784"/>
      <c r="G1919" s="440">
        <f>SUM(G1914:G1915)</f>
        <v>100.0472</v>
      </c>
    </row>
    <row r="1920" spans="1:7" ht="12.75">
      <c r="A1920" s="783" t="s">
        <v>441</v>
      </c>
      <c r="B1920" s="784"/>
      <c r="C1920" s="784"/>
      <c r="D1920" s="784"/>
      <c r="E1920" s="784"/>
      <c r="F1920" s="784"/>
      <c r="G1920" s="440">
        <f>SUM(G1918:G1919)</f>
        <v>122.93484000000001</v>
      </c>
    </row>
    <row r="1921" spans="1:7" ht="12.75">
      <c r="A1921" s="783" t="s">
        <v>442</v>
      </c>
      <c r="B1921" s="784"/>
      <c r="C1921" s="784"/>
      <c r="D1921" s="784"/>
      <c r="E1921" s="784"/>
      <c r="F1921" s="784"/>
      <c r="G1921" s="440">
        <f>G1918*85.16%</f>
        <v>19.491114223999997</v>
      </c>
    </row>
    <row r="1922" spans="1:7" ht="12.75">
      <c r="A1922" s="783" t="s">
        <v>443</v>
      </c>
      <c r="B1922" s="784"/>
      <c r="C1922" s="784"/>
      <c r="D1922" s="784"/>
      <c r="E1922" s="784"/>
      <c r="F1922" s="784"/>
      <c r="G1922" s="440">
        <f>G1921</f>
        <v>19.491114223999997</v>
      </c>
    </row>
    <row r="1923" spans="1:7" ht="12.75">
      <c r="A1923" s="785" t="s">
        <v>444</v>
      </c>
      <c r="B1923" s="786"/>
      <c r="C1923" s="786"/>
      <c r="D1923" s="786"/>
      <c r="E1923" s="786"/>
      <c r="F1923" s="787"/>
      <c r="G1923" s="440">
        <f>G1919</f>
        <v>100.0472</v>
      </c>
    </row>
    <row r="1924" spans="1:7" ht="12.75">
      <c r="A1924" s="785" t="s">
        <v>445</v>
      </c>
      <c r="B1924" s="786"/>
      <c r="C1924" s="786"/>
      <c r="D1924" s="786"/>
      <c r="E1924" s="786"/>
      <c r="F1924" s="787"/>
      <c r="G1924" s="440">
        <f>G1918+G1922</f>
        <v>42.37875422399999</v>
      </c>
    </row>
    <row r="1925" spans="1:7" ht="12.75">
      <c r="A1925" s="785" t="s">
        <v>446</v>
      </c>
      <c r="B1925" s="786"/>
      <c r="C1925" s="786"/>
      <c r="D1925" s="786"/>
      <c r="E1925" s="786"/>
      <c r="F1925" s="787"/>
      <c r="G1925" s="440">
        <f>SUM(G1923:G1924)</f>
        <v>142.425954224</v>
      </c>
    </row>
    <row r="1926" spans="1:7" ht="12.75">
      <c r="A1926" s="796"/>
      <c r="B1926" s="797"/>
      <c r="C1926" s="797"/>
      <c r="D1926" s="797"/>
      <c r="E1926" s="797"/>
      <c r="F1926" s="797"/>
      <c r="G1926" s="798"/>
    </row>
    <row r="1927" spans="1:7" ht="12.75">
      <c r="A1927" s="804"/>
      <c r="B1927" s="805"/>
      <c r="C1927" s="805"/>
      <c r="D1927" s="805"/>
      <c r="E1927" s="805"/>
      <c r="F1927" s="805"/>
      <c r="G1927" s="806"/>
    </row>
    <row r="1928" spans="1:7" ht="12.75">
      <c r="A1928" s="594"/>
      <c r="B1928" s="595"/>
      <c r="C1928" s="595"/>
      <c r="D1928" s="595"/>
      <c r="E1928" s="595"/>
      <c r="F1928" s="595"/>
      <c r="G1928" s="596"/>
    </row>
    <row r="1929" spans="1:7" ht="12.75">
      <c r="A1929" s="594"/>
      <c r="B1929" s="595"/>
      <c r="C1929" s="595"/>
      <c r="D1929" s="595"/>
      <c r="E1929" s="595"/>
      <c r="F1929" s="595"/>
      <c r="G1929" s="596"/>
    </row>
    <row r="1930" spans="1:7" ht="12.75">
      <c r="A1930" s="594"/>
      <c r="B1930" s="595"/>
      <c r="C1930" s="595"/>
      <c r="D1930" s="595"/>
      <c r="E1930" s="595"/>
      <c r="F1930" s="595"/>
      <c r="G1930" s="596"/>
    </row>
    <row r="1931" spans="1:7" ht="12.75">
      <c r="A1931" s="704" t="s">
        <v>1731</v>
      </c>
      <c r="B1931" s="595"/>
      <c r="C1931" s="595"/>
      <c r="D1931" s="595"/>
      <c r="E1931" s="595"/>
      <c r="F1931" s="595"/>
      <c r="G1931" s="596"/>
    </row>
    <row r="1932" spans="1:7" ht="89.25">
      <c r="A1932" s="171" t="s">
        <v>719</v>
      </c>
      <c r="B1932" s="182" t="s">
        <v>720</v>
      </c>
      <c r="C1932" s="172" t="s">
        <v>72</v>
      </c>
      <c r="D1932" s="172" t="s">
        <v>75</v>
      </c>
      <c r="E1932" s="373"/>
      <c r="F1932" s="374"/>
      <c r="G1932" s="375"/>
    </row>
    <row r="1933" spans="1:7" ht="25.5">
      <c r="A1933" s="173" t="s">
        <v>703</v>
      </c>
      <c r="B1933" s="174" t="s">
        <v>704</v>
      </c>
      <c r="C1933" s="175" t="s">
        <v>73</v>
      </c>
      <c r="D1933" s="175" t="s">
        <v>75</v>
      </c>
      <c r="E1933" s="434">
        <v>0.019</v>
      </c>
      <c r="F1933" s="435">
        <v>9.4</v>
      </c>
      <c r="G1933" s="436">
        <f>E1933*F1933</f>
        <v>0.1786</v>
      </c>
    </row>
    <row r="1934" spans="1:7" ht="38.25">
      <c r="A1934" s="173" t="s">
        <v>721</v>
      </c>
      <c r="B1934" s="174" t="s">
        <v>722</v>
      </c>
      <c r="C1934" s="175" t="s">
        <v>73</v>
      </c>
      <c r="D1934" s="175" t="s">
        <v>75</v>
      </c>
      <c r="E1934" s="434">
        <v>1</v>
      </c>
      <c r="F1934" s="435">
        <v>55.18</v>
      </c>
      <c r="G1934" s="436">
        <f>E1934*F1934</f>
        <v>55.18</v>
      </c>
    </row>
    <row r="1935" spans="1:7" ht="38.25">
      <c r="A1935" s="173" t="s">
        <v>492</v>
      </c>
      <c r="B1935" s="174" t="s">
        <v>493</v>
      </c>
      <c r="C1935" s="175" t="s">
        <v>72</v>
      </c>
      <c r="D1935" s="175" t="s">
        <v>77</v>
      </c>
      <c r="E1935" s="434">
        <v>0.789</v>
      </c>
      <c r="F1935" s="435">
        <v>12.86</v>
      </c>
      <c r="G1935" s="436">
        <f>E1935*F1935</f>
        <v>10.14654</v>
      </c>
    </row>
    <row r="1936" spans="1:7" ht="25.5">
      <c r="A1936" s="173" t="s">
        <v>494</v>
      </c>
      <c r="B1936" s="174" t="s">
        <v>495</v>
      </c>
      <c r="C1936" s="175" t="s">
        <v>72</v>
      </c>
      <c r="D1936" s="175" t="s">
        <v>77</v>
      </c>
      <c r="E1936" s="434">
        <v>0.789</v>
      </c>
      <c r="F1936" s="435">
        <v>15.12</v>
      </c>
      <c r="G1936" s="436">
        <f>E1936*F1936</f>
        <v>11.92968</v>
      </c>
    </row>
    <row r="1937" spans="1:7" ht="12.75">
      <c r="A1937" s="783" t="s">
        <v>439</v>
      </c>
      <c r="B1937" s="784"/>
      <c r="C1937" s="784"/>
      <c r="D1937" s="784"/>
      <c r="E1937" s="784"/>
      <c r="F1937" s="784"/>
      <c r="G1937" s="440">
        <f>SUM(G1935:G1936)</f>
        <v>22.07622</v>
      </c>
    </row>
    <row r="1938" spans="1:7" ht="12.75">
      <c r="A1938" s="783" t="s">
        <v>440</v>
      </c>
      <c r="B1938" s="784"/>
      <c r="C1938" s="784"/>
      <c r="D1938" s="784"/>
      <c r="E1938" s="784"/>
      <c r="F1938" s="784"/>
      <c r="G1938" s="440">
        <f>SUM(G1933:G1934)</f>
        <v>55.3586</v>
      </c>
    </row>
    <row r="1939" spans="1:7" ht="12.75">
      <c r="A1939" s="783" t="s">
        <v>441</v>
      </c>
      <c r="B1939" s="784"/>
      <c r="C1939" s="784"/>
      <c r="D1939" s="784"/>
      <c r="E1939" s="784"/>
      <c r="F1939" s="784"/>
      <c r="G1939" s="440">
        <f>SUM(G1937:G1938)</f>
        <v>77.43482</v>
      </c>
    </row>
    <row r="1940" spans="1:7" ht="12.75">
      <c r="A1940" s="783" t="s">
        <v>442</v>
      </c>
      <c r="B1940" s="784"/>
      <c r="C1940" s="784"/>
      <c r="D1940" s="784"/>
      <c r="E1940" s="784"/>
      <c r="F1940" s="784"/>
      <c r="G1940" s="440">
        <f>G1937*85.16%</f>
        <v>18.800108952</v>
      </c>
    </row>
    <row r="1941" spans="1:7" ht="12.75">
      <c r="A1941" s="783" t="s">
        <v>443</v>
      </c>
      <c r="B1941" s="784"/>
      <c r="C1941" s="784"/>
      <c r="D1941" s="784"/>
      <c r="E1941" s="784"/>
      <c r="F1941" s="784"/>
      <c r="G1941" s="440">
        <f>G1940</f>
        <v>18.800108952</v>
      </c>
    </row>
    <row r="1942" spans="1:7" ht="12.75">
      <c r="A1942" s="785" t="s">
        <v>444</v>
      </c>
      <c r="B1942" s="786"/>
      <c r="C1942" s="786"/>
      <c r="D1942" s="786"/>
      <c r="E1942" s="786"/>
      <c r="F1942" s="787"/>
      <c r="G1942" s="440">
        <f>G1938</f>
        <v>55.3586</v>
      </c>
    </row>
    <row r="1943" spans="1:7" ht="12.75">
      <c r="A1943" s="785" t="s">
        <v>445</v>
      </c>
      <c r="B1943" s="786"/>
      <c r="C1943" s="786"/>
      <c r="D1943" s="786"/>
      <c r="E1943" s="786"/>
      <c r="F1943" s="787"/>
      <c r="G1943" s="440">
        <f>G1937+G1941</f>
        <v>40.876328951999994</v>
      </c>
    </row>
    <row r="1944" spans="1:7" ht="12.75">
      <c r="A1944" s="785" t="s">
        <v>446</v>
      </c>
      <c r="B1944" s="786"/>
      <c r="C1944" s="786"/>
      <c r="D1944" s="786"/>
      <c r="E1944" s="786"/>
      <c r="F1944" s="787"/>
      <c r="G1944" s="440">
        <f>SUM(G1942:G1943)</f>
        <v>96.23492895199999</v>
      </c>
    </row>
    <row r="1945" spans="1:7" ht="12.75">
      <c r="A1945" s="796"/>
      <c r="B1945" s="797"/>
      <c r="C1945" s="797"/>
      <c r="D1945" s="797"/>
      <c r="E1945" s="797"/>
      <c r="F1945" s="797"/>
      <c r="G1945" s="798"/>
    </row>
    <row r="1946" spans="1:7" ht="12.75">
      <c r="A1946" s="804"/>
      <c r="B1946" s="805"/>
      <c r="C1946" s="805"/>
      <c r="D1946" s="805"/>
      <c r="E1946" s="805"/>
      <c r="F1946" s="805"/>
      <c r="G1946" s="806"/>
    </row>
    <row r="1947" spans="1:7" ht="12.75">
      <c r="A1947" s="711" t="s">
        <v>1732</v>
      </c>
      <c r="B1947" s="595"/>
      <c r="C1947" s="595"/>
      <c r="D1947" s="595"/>
      <c r="E1947" s="595"/>
      <c r="F1947" s="595"/>
      <c r="G1947" s="596"/>
    </row>
    <row r="1948" spans="1:7" ht="89.25">
      <c r="A1948" s="171" t="s">
        <v>715</v>
      </c>
      <c r="B1948" s="182" t="s">
        <v>716</v>
      </c>
      <c r="C1948" s="172" t="s">
        <v>72</v>
      </c>
      <c r="D1948" s="172" t="s">
        <v>75</v>
      </c>
      <c r="E1948" s="373"/>
      <c r="F1948" s="374"/>
      <c r="G1948" s="375"/>
    </row>
    <row r="1949" spans="1:7" ht="25.5">
      <c r="A1949" s="173" t="s">
        <v>703</v>
      </c>
      <c r="B1949" s="174" t="s">
        <v>704</v>
      </c>
      <c r="C1949" s="175" t="s">
        <v>73</v>
      </c>
      <c r="D1949" s="175" t="s">
        <v>75</v>
      </c>
      <c r="E1949" s="434">
        <v>0.0095</v>
      </c>
      <c r="F1949" s="435">
        <v>9.4</v>
      </c>
      <c r="G1949" s="436">
        <f>E1949*F1949</f>
        <v>0.0893</v>
      </c>
    </row>
    <row r="1950" spans="1:7" ht="38.25">
      <c r="A1950" s="173" t="s">
        <v>717</v>
      </c>
      <c r="B1950" s="174" t="s">
        <v>718</v>
      </c>
      <c r="C1950" s="175" t="s">
        <v>73</v>
      </c>
      <c r="D1950" s="175" t="s">
        <v>75</v>
      </c>
      <c r="E1950" s="434">
        <v>1</v>
      </c>
      <c r="F1950" s="435">
        <v>37.94</v>
      </c>
      <c r="G1950" s="436">
        <f>E1950*F1950</f>
        <v>37.94</v>
      </c>
    </row>
    <row r="1951" spans="1:7" ht="38.25">
      <c r="A1951" s="173" t="s">
        <v>492</v>
      </c>
      <c r="B1951" s="174" t="s">
        <v>493</v>
      </c>
      <c r="C1951" s="175" t="s">
        <v>72</v>
      </c>
      <c r="D1951" s="175" t="s">
        <v>77</v>
      </c>
      <c r="E1951" s="434">
        <v>0.7745</v>
      </c>
      <c r="F1951" s="435">
        <v>12.86</v>
      </c>
      <c r="G1951" s="436">
        <f>E1951*F1951</f>
        <v>9.96007</v>
      </c>
    </row>
    <row r="1952" spans="1:7" ht="25.5">
      <c r="A1952" s="173" t="s">
        <v>494</v>
      </c>
      <c r="B1952" s="174" t="s">
        <v>495</v>
      </c>
      <c r="C1952" s="175" t="s">
        <v>72</v>
      </c>
      <c r="D1952" s="175" t="s">
        <v>77</v>
      </c>
      <c r="E1952" s="434">
        <v>0.7745</v>
      </c>
      <c r="F1952" s="435">
        <v>15.12</v>
      </c>
      <c r="G1952" s="436">
        <f>E1952*F1952</f>
        <v>11.710439999999998</v>
      </c>
    </row>
    <row r="1953" spans="1:7" ht="12.75">
      <c r="A1953" s="783" t="s">
        <v>439</v>
      </c>
      <c r="B1953" s="784"/>
      <c r="C1953" s="784"/>
      <c r="D1953" s="784"/>
      <c r="E1953" s="784"/>
      <c r="F1953" s="784"/>
      <c r="G1953" s="440">
        <f>SUM(G1951:G1952)</f>
        <v>21.67051</v>
      </c>
    </row>
    <row r="1954" spans="1:7" ht="12.75">
      <c r="A1954" s="783" t="s">
        <v>440</v>
      </c>
      <c r="B1954" s="784"/>
      <c r="C1954" s="784"/>
      <c r="D1954" s="784"/>
      <c r="E1954" s="784"/>
      <c r="F1954" s="784"/>
      <c r="G1954" s="440">
        <f>SUM(G1949:G1950)</f>
        <v>38.0293</v>
      </c>
    </row>
    <row r="1955" spans="1:7" ht="12.75">
      <c r="A1955" s="783" t="s">
        <v>441</v>
      </c>
      <c r="B1955" s="784"/>
      <c r="C1955" s="784"/>
      <c r="D1955" s="784"/>
      <c r="E1955" s="784"/>
      <c r="F1955" s="784"/>
      <c r="G1955" s="440">
        <f>SUM(G1953:G1954)</f>
        <v>59.69981</v>
      </c>
    </row>
    <row r="1956" spans="1:7" ht="12.75">
      <c r="A1956" s="783" t="s">
        <v>442</v>
      </c>
      <c r="B1956" s="784"/>
      <c r="C1956" s="784"/>
      <c r="D1956" s="784"/>
      <c r="E1956" s="784"/>
      <c r="F1956" s="784"/>
      <c r="G1956" s="440">
        <f>G1953*85.16%</f>
        <v>18.454606316</v>
      </c>
    </row>
    <row r="1957" spans="1:7" ht="12.75">
      <c r="A1957" s="783" t="s">
        <v>443</v>
      </c>
      <c r="B1957" s="784"/>
      <c r="C1957" s="784"/>
      <c r="D1957" s="784"/>
      <c r="E1957" s="784"/>
      <c r="F1957" s="784"/>
      <c r="G1957" s="440">
        <f>G1956</f>
        <v>18.454606316</v>
      </c>
    </row>
    <row r="1958" spans="1:7" ht="12.75">
      <c r="A1958" s="785" t="s">
        <v>444</v>
      </c>
      <c r="B1958" s="786"/>
      <c r="C1958" s="786"/>
      <c r="D1958" s="786"/>
      <c r="E1958" s="786"/>
      <c r="F1958" s="787"/>
      <c r="G1958" s="440">
        <f>G1954</f>
        <v>38.0293</v>
      </c>
    </row>
    <row r="1959" spans="1:7" ht="12.75">
      <c r="A1959" s="785" t="s">
        <v>445</v>
      </c>
      <c r="B1959" s="786"/>
      <c r="C1959" s="786"/>
      <c r="D1959" s="786"/>
      <c r="E1959" s="786"/>
      <c r="F1959" s="787"/>
      <c r="G1959" s="440">
        <f>G1953+G1957</f>
        <v>40.125116316</v>
      </c>
    </row>
    <row r="1960" spans="1:7" ht="12.75">
      <c r="A1960" s="785" t="s">
        <v>446</v>
      </c>
      <c r="B1960" s="786"/>
      <c r="C1960" s="786"/>
      <c r="D1960" s="786"/>
      <c r="E1960" s="786"/>
      <c r="F1960" s="787"/>
      <c r="G1960" s="440">
        <f>SUM(G1958:G1959)</f>
        <v>78.15441631600001</v>
      </c>
    </row>
    <row r="1961" spans="1:7" ht="12.75">
      <c r="A1961" s="796"/>
      <c r="B1961" s="797"/>
      <c r="C1961" s="797"/>
      <c r="D1961" s="797"/>
      <c r="E1961" s="797"/>
      <c r="F1961" s="797"/>
      <c r="G1961" s="798"/>
    </row>
    <row r="1962" spans="1:7" ht="12.75">
      <c r="A1962" s="804"/>
      <c r="B1962" s="805"/>
      <c r="C1962" s="805"/>
      <c r="D1962" s="805"/>
      <c r="E1962" s="805"/>
      <c r="F1962" s="805"/>
      <c r="G1962" s="806"/>
    </row>
    <row r="1963" spans="1:7" ht="12.75">
      <c r="A1963" s="711" t="s">
        <v>1733</v>
      </c>
      <c r="B1963" s="595"/>
      <c r="C1963" s="595"/>
      <c r="D1963" s="595"/>
      <c r="E1963" s="595"/>
      <c r="F1963" s="595"/>
      <c r="G1963" s="596"/>
    </row>
    <row r="1964" spans="1:7" ht="63.75">
      <c r="A1964" s="171" t="s">
        <v>701</v>
      </c>
      <c r="B1964" s="182" t="s">
        <v>702</v>
      </c>
      <c r="C1964" s="172" t="s">
        <v>72</v>
      </c>
      <c r="D1964" s="172" t="s">
        <v>75</v>
      </c>
      <c r="E1964" s="373"/>
      <c r="F1964" s="374"/>
      <c r="G1964" s="375"/>
    </row>
    <row r="1965" spans="1:7" ht="25.5">
      <c r="A1965" s="173" t="s">
        <v>703</v>
      </c>
      <c r="B1965" s="174" t="s">
        <v>704</v>
      </c>
      <c r="C1965" s="175" t="s">
        <v>73</v>
      </c>
      <c r="D1965" s="175" t="s">
        <v>75</v>
      </c>
      <c r="E1965" s="434">
        <v>0.013</v>
      </c>
      <c r="F1965" s="435">
        <v>9.4</v>
      </c>
      <c r="G1965" s="436">
        <f>E1965*F1965</f>
        <v>0.1222</v>
      </c>
    </row>
    <row r="1966" spans="1:7" ht="38.25">
      <c r="A1966" s="173" t="s">
        <v>705</v>
      </c>
      <c r="B1966" s="174" t="s">
        <v>706</v>
      </c>
      <c r="C1966" s="175" t="s">
        <v>73</v>
      </c>
      <c r="D1966" s="175" t="s">
        <v>75</v>
      </c>
      <c r="E1966" s="434">
        <v>1</v>
      </c>
      <c r="F1966" s="435">
        <v>31</v>
      </c>
      <c r="G1966" s="436">
        <f>E1966*F1966</f>
        <v>31</v>
      </c>
    </row>
    <row r="1967" spans="1:7" ht="38.25">
      <c r="A1967" s="173" t="s">
        <v>492</v>
      </c>
      <c r="B1967" s="174" t="s">
        <v>493</v>
      </c>
      <c r="C1967" s="175" t="s">
        <v>72</v>
      </c>
      <c r="D1967" s="175" t="s">
        <v>77</v>
      </c>
      <c r="E1967" s="434">
        <v>0.23</v>
      </c>
      <c r="F1967" s="435">
        <v>12.86</v>
      </c>
      <c r="G1967" s="436">
        <f>E1967*F1967</f>
        <v>2.9578</v>
      </c>
    </row>
    <row r="1968" spans="1:7" ht="25.5">
      <c r="A1968" s="173" t="s">
        <v>494</v>
      </c>
      <c r="B1968" s="174" t="s">
        <v>495</v>
      </c>
      <c r="C1968" s="175" t="s">
        <v>72</v>
      </c>
      <c r="D1968" s="175" t="s">
        <v>77</v>
      </c>
      <c r="E1968" s="434">
        <v>0.3</v>
      </c>
      <c r="F1968" s="435">
        <v>15.12</v>
      </c>
      <c r="G1968" s="436">
        <f>E1968*F1968</f>
        <v>4.536</v>
      </c>
    </row>
    <row r="1969" spans="1:7" ht="12.75">
      <c r="A1969" s="783" t="s">
        <v>439</v>
      </c>
      <c r="B1969" s="784"/>
      <c r="C1969" s="784"/>
      <c r="D1969" s="784"/>
      <c r="E1969" s="784"/>
      <c r="F1969" s="784"/>
      <c r="G1969" s="440">
        <f>ROUNDUP(SUM(G1967:G1968),2)</f>
        <v>7.5</v>
      </c>
    </row>
    <row r="1970" spans="1:7" ht="12.75">
      <c r="A1970" s="783" t="s">
        <v>440</v>
      </c>
      <c r="B1970" s="784"/>
      <c r="C1970" s="784"/>
      <c r="D1970" s="784"/>
      <c r="E1970" s="784"/>
      <c r="F1970" s="784"/>
      <c r="G1970" s="440">
        <f>SUM(G1965:G1966)</f>
        <v>31.1222</v>
      </c>
    </row>
    <row r="1971" spans="1:7" ht="12.75">
      <c r="A1971" s="783" t="s">
        <v>441</v>
      </c>
      <c r="B1971" s="784"/>
      <c r="C1971" s="784"/>
      <c r="D1971" s="784"/>
      <c r="E1971" s="784"/>
      <c r="F1971" s="784"/>
      <c r="G1971" s="440">
        <f>SUM(G1969:G1970)</f>
        <v>38.6222</v>
      </c>
    </row>
    <row r="1972" spans="1:7" ht="12.75">
      <c r="A1972" s="783" t="s">
        <v>442</v>
      </c>
      <c r="B1972" s="784"/>
      <c r="C1972" s="784"/>
      <c r="D1972" s="784"/>
      <c r="E1972" s="784"/>
      <c r="F1972" s="784"/>
      <c r="G1972" s="440">
        <f>G1969*85.16%</f>
        <v>6.387</v>
      </c>
    </row>
    <row r="1973" spans="1:7" ht="12.75">
      <c r="A1973" s="783" t="s">
        <v>443</v>
      </c>
      <c r="B1973" s="784"/>
      <c r="C1973" s="784"/>
      <c r="D1973" s="784"/>
      <c r="E1973" s="784"/>
      <c r="F1973" s="784"/>
      <c r="G1973" s="440">
        <f>G1972</f>
        <v>6.387</v>
      </c>
    </row>
    <row r="1974" spans="1:7" ht="12.75">
      <c r="A1974" s="785" t="s">
        <v>444</v>
      </c>
      <c r="B1974" s="786"/>
      <c r="C1974" s="786"/>
      <c r="D1974" s="786"/>
      <c r="E1974" s="786"/>
      <c r="F1974" s="787"/>
      <c r="G1974" s="440">
        <f>G1970</f>
        <v>31.1222</v>
      </c>
    </row>
    <row r="1975" spans="1:7" ht="12.75">
      <c r="A1975" s="785" t="s">
        <v>445</v>
      </c>
      <c r="B1975" s="786"/>
      <c r="C1975" s="786"/>
      <c r="D1975" s="786"/>
      <c r="E1975" s="786"/>
      <c r="F1975" s="787"/>
      <c r="G1975" s="440">
        <f>G1969+G1973</f>
        <v>13.887</v>
      </c>
    </row>
    <row r="1976" spans="1:7" ht="12.75">
      <c r="A1976" s="785" t="s">
        <v>446</v>
      </c>
      <c r="B1976" s="786"/>
      <c r="C1976" s="786"/>
      <c r="D1976" s="786"/>
      <c r="E1976" s="786"/>
      <c r="F1976" s="787"/>
      <c r="G1976" s="440">
        <f>SUM(G1974:G1975)</f>
        <v>45.0092</v>
      </c>
    </row>
    <row r="1977" spans="1:7" ht="12.75">
      <c r="A1977" s="804"/>
      <c r="B1977" s="805"/>
      <c r="C1977" s="805"/>
      <c r="D1977" s="805"/>
      <c r="E1977" s="805"/>
      <c r="F1977" s="805"/>
      <c r="G1977" s="806"/>
    </row>
    <row r="1978" spans="1:7" ht="12.75">
      <c r="A1978" s="594"/>
      <c r="B1978" s="595"/>
      <c r="C1978" s="595"/>
      <c r="D1978" s="595"/>
      <c r="E1978" s="595"/>
      <c r="F1978" s="595"/>
      <c r="G1978" s="596"/>
    </row>
    <row r="1979" spans="1:7" ht="12.75">
      <c r="A1979" s="594"/>
      <c r="B1979" s="595"/>
      <c r="C1979" s="595"/>
      <c r="D1979" s="595"/>
      <c r="E1979" s="595"/>
      <c r="F1979" s="595"/>
      <c r="G1979" s="596"/>
    </row>
    <row r="1980" spans="1:7" ht="12.75">
      <c r="A1980" s="594"/>
      <c r="B1980" s="595"/>
      <c r="C1980" s="595"/>
      <c r="D1980" s="595"/>
      <c r="E1980" s="595"/>
      <c r="F1980" s="595"/>
      <c r="G1980" s="596"/>
    </row>
    <row r="1981" spans="1:7" ht="12.75">
      <c r="A1981" s="714" t="s">
        <v>1697</v>
      </c>
      <c r="B1981" s="595"/>
      <c r="C1981" s="595"/>
      <c r="D1981" s="595"/>
      <c r="E1981" s="595"/>
      <c r="F1981" s="595"/>
      <c r="G1981" s="596"/>
    </row>
    <row r="1982" spans="1:7" ht="76.5">
      <c r="A1982" s="171" t="s">
        <v>589</v>
      </c>
      <c r="B1982" s="182" t="s">
        <v>590</v>
      </c>
      <c r="C1982" s="172" t="s">
        <v>72</v>
      </c>
      <c r="D1982" s="172" t="s">
        <v>75</v>
      </c>
      <c r="E1982" s="373"/>
      <c r="F1982" s="374"/>
      <c r="G1982" s="375"/>
    </row>
    <row r="1983" spans="1:7" ht="25.5">
      <c r="A1983" s="173" t="s">
        <v>577</v>
      </c>
      <c r="B1983" s="174" t="s">
        <v>578</v>
      </c>
      <c r="C1983" s="175" t="s">
        <v>73</v>
      </c>
      <c r="D1983" s="175" t="s">
        <v>75</v>
      </c>
      <c r="E1983" s="434">
        <v>0.007</v>
      </c>
      <c r="F1983" s="435">
        <v>41.55</v>
      </c>
      <c r="G1983" s="436">
        <f aca="true" t="shared" si="13" ref="G1983:G1988">E1983*F1983</f>
        <v>0.29085</v>
      </c>
    </row>
    <row r="1984" spans="1:7" ht="25.5">
      <c r="A1984" s="173" t="s">
        <v>579</v>
      </c>
      <c r="B1984" s="174" t="s">
        <v>580</v>
      </c>
      <c r="C1984" s="175" t="s">
        <v>73</v>
      </c>
      <c r="D1984" s="175" t="s">
        <v>75</v>
      </c>
      <c r="E1984" s="434">
        <v>0.008</v>
      </c>
      <c r="F1984" s="435">
        <v>36.08</v>
      </c>
      <c r="G1984" s="436">
        <f t="shared" si="13"/>
        <v>0.28864</v>
      </c>
    </row>
    <row r="1985" spans="1:7" ht="12.75">
      <c r="A1985" s="173" t="s">
        <v>583</v>
      </c>
      <c r="B1985" s="174" t="s">
        <v>584</v>
      </c>
      <c r="C1985" s="175" t="s">
        <v>73</v>
      </c>
      <c r="D1985" s="175" t="s">
        <v>75</v>
      </c>
      <c r="E1985" s="434">
        <v>0.05</v>
      </c>
      <c r="F1985" s="435">
        <v>1.52</v>
      </c>
      <c r="G1985" s="436">
        <f t="shared" si="13"/>
        <v>0.07600000000000001</v>
      </c>
    </row>
    <row r="1986" spans="1:7" ht="38.25">
      <c r="A1986" s="173" t="s">
        <v>591</v>
      </c>
      <c r="B1986" s="174" t="s">
        <v>592</v>
      </c>
      <c r="C1986" s="175" t="s">
        <v>73</v>
      </c>
      <c r="D1986" s="175" t="s">
        <v>75</v>
      </c>
      <c r="E1986" s="434">
        <v>1</v>
      </c>
      <c r="F1986" s="435">
        <v>0.65</v>
      </c>
      <c r="G1986" s="436">
        <f t="shared" si="13"/>
        <v>0.65</v>
      </c>
    </row>
    <row r="1987" spans="1:7" ht="38.25">
      <c r="A1987" s="173" t="s">
        <v>492</v>
      </c>
      <c r="B1987" s="174" t="s">
        <v>493</v>
      </c>
      <c r="C1987" s="175" t="s">
        <v>72</v>
      </c>
      <c r="D1987" s="175" t="s">
        <v>77</v>
      </c>
      <c r="E1987" s="434">
        <v>0.1</v>
      </c>
      <c r="F1987" s="435">
        <v>12.86</v>
      </c>
      <c r="G1987" s="436">
        <f t="shared" si="13"/>
        <v>1.286</v>
      </c>
    </row>
    <row r="1988" spans="1:7" ht="25.5">
      <c r="A1988" s="173" t="s">
        <v>494</v>
      </c>
      <c r="B1988" s="174" t="s">
        <v>495</v>
      </c>
      <c r="C1988" s="175" t="s">
        <v>72</v>
      </c>
      <c r="D1988" s="175" t="s">
        <v>77</v>
      </c>
      <c r="E1988" s="434">
        <v>0.1</v>
      </c>
      <c r="F1988" s="435">
        <v>15.12</v>
      </c>
      <c r="G1988" s="436">
        <f t="shared" si="13"/>
        <v>1.512</v>
      </c>
    </row>
    <row r="1989" spans="1:7" ht="12.75">
      <c r="A1989" s="783" t="s">
        <v>439</v>
      </c>
      <c r="B1989" s="784"/>
      <c r="C1989" s="784"/>
      <c r="D1989" s="784"/>
      <c r="E1989" s="784"/>
      <c r="F1989" s="784"/>
      <c r="G1989" s="440">
        <f>ROUNDUP(SUM(G1987:G1988),2)</f>
        <v>2.8</v>
      </c>
    </row>
    <row r="1990" spans="1:7" ht="12.75">
      <c r="A1990" s="783" t="s">
        <v>440</v>
      </c>
      <c r="B1990" s="784"/>
      <c r="C1990" s="784"/>
      <c r="D1990" s="784"/>
      <c r="E1990" s="784"/>
      <c r="F1990" s="784"/>
      <c r="G1990" s="440">
        <f>SUM(G1983:G1986)</f>
        <v>1.3054900000000003</v>
      </c>
    </row>
    <row r="1991" spans="1:7" ht="12.75">
      <c r="A1991" s="783" t="s">
        <v>441</v>
      </c>
      <c r="B1991" s="784"/>
      <c r="C1991" s="784"/>
      <c r="D1991" s="784"/>
      <c r="E1991" s="784"/>
      <c r="F1991" s="784"/>
      <c r="G1991" s="440">
        <f>SUM(G1989:G1990)</f>
        <v>4.10549</v>
      </c>
    </row>
    <row r="1992" spans="1:7" ht="12.75">
      <c r="A1992" s="783" t="s">
        <v>442</v>
      </c>
      <c r="B1992" s="784"/>
      <c r="C1992" s="784"/>
      <c r="D1992" s="784"/>
      <c r="E1992" s="784"/>
      <c r="F1992" s="784"/>
      <c r="G1992" s="440">
        <f>G1989*85.16%</f>
        <v>2.3844799999999995</v>
      </c>
    </row>
    <row r="1993" spans="1:7" ht="12.75">
      <c r="A1993" s="783" t="s">
        <v>443</v>
      </c>
      <c r="B1993" s="784"/>
      <c r="C1993" s="784"/>
      <c r="D1993" s="784"/>
      <c r="E1993" s="784"/>
      <c r="F1993" s="784"/>
      <c r="G1993" s="440">
        <f>G1992</f>
        <v>2.3844799999999995</v>
      </c>
    </row>
    <row r="1994" spans="1:7" ht="12.75">
      <c r="A1994" s="785" t="s">
        <v>444</v>
      </c>
      <c r="B1994" s="786"/>
      <c r="C1994" s="786"/>
      <c r="D1994" s="786"/>
      <c r="E1994" s="786"/>
      <c r="F1994" s="787"/>
      <c r="G1994" s="440">
        <f>G1990</f>
        <v>1.3054900000000003</v>
      </c>
    </row>
    <row r="1995" spans="1:7" ht="12.75">
      <c r="A1995" s="785" t="s">
        <v>445</v>
      </c>
      <c r="B1995" s="786"/>
      <c r="C1995" s="786"/>
      <c r="D1995" s="786"/>
      <c r="E1995" s="786"/>
      <c r="F1995" s="787"/>
      <c r="G1995" s="440">
        <f>G1989+G1993</f>
        <v>5.184479999999999</v>
      </c>
    </row>
    <row r="1996" spans="1:7" ht="12.75">
      <c r="A1996" s="785" t="s">
        <v>446</v>
      </c>
      <c r="B1996" s="786"/>
      <c r="C1996" s="786"/>
      <c r="D1996" s="786"/>
      <c r="E1996" s="786"/>
      <c r="F1996" s="787"/>
      <c r="G1996" s="440">
        <f>SUM(G1994:G1995)</f>
        <v>6.48997</v>
      </c>
    </row>
    <row r="1997" spans="1:7" ht="12.75">
      <c r="A1997" s="796"/>
      <c r="B1997" s="797"/>
      <c r="C1997" s="797"/>
      <c r="D1997" s="797"/>
      <c r="E1997" s="797"/>
      <c r="F1997" s="797"/>
      <c r="G1997" s="798"/>
    </row>
    <row r="1998" spans="1:7" ht="12.75">
      <c r="A1998" s="804"/>
      <c r="B1998" s="805"/>
      <c r="C1998" s="805"/>
      <c r="D1998" s="805"/>
      <c r="E1998" s="805"/>
      <c r="F1998" s="805"/>
      <c r="G1998" s="806"/>
    </row>
    <row r="1999" spans="1:7" ht="12.75">
      <c r="A1999" s="594"/>
      <c r="B1999" s="595"/>
      <c r="C1999" s="595"/>
      <c r="D1999" s="595"/>
      <c r="E1999" s="595"/>
      <c r="F1999" s="595"/>
      <c r="G1999" s="596"/>
    </row>
    <row r="2000" spans="1:7" ht="12.75">
      <c r="A2000" s="594"/>
      <c r="B2000" s="595"/>
      <c r="C2000" s="595"/>
      <c r="D2000" s="595"/>
      <c r="E2000" s="595"/>
      <c r="F2000" s="595"/>
      <c r="G2000" s="596"/>
    </row>
    <row r="2001" spans="1:7" ht="12.75">
      <c r="A2001" s="714" t="s">
        <v>1698</v>
      </c>
      <c r="B2001" s="595"/>
      <c r="C2001" s="595"/>
      <c r="D2001" s="595"/>
      <c r="E2001" s="595"/>
      <c r="F2001" s="595"/>
      <c r="G2001" s="596"/>
    </row>
    <row r="2002" spans="1:7" ht="76.5">
      <c r="A2002" s="171" t="s">
        <v>609</v>
      </c>
      <c r="B2002" s="182" t="s">
        <v>610</v>
      </c>
      <c r="C2002" s="172" t="s">
        <v>72</v>
      </c>
      <c r="D2002" s="172" t="s">
        <v>75</v>
      </c>
      <c r="E2002" s="373"/>
      <c r="F2002" s="374"/>
      <c r="G2002" s="375"/>
    </row>
    <row r="2003" spans="1:7" ht="38.25">
      <c r="A2003" s="173" t="s">
        <v>611</v>
      </c>
      <c r="B2003" s="174" t="s">
        <v>612</v>
      </c>
      <c r="C2003" s="175" t="s">
        <v>73</v>
      </c>
      <c r="D2003" s="175" t="s">
        <v>75</v>
      </c>
      <c r="E2003" s="434">
        <v>1</v>
      </c>
      <c r="F2003" s="435">
        <v>3.04</v>
      </c>
      <c r="G2003" s="436">
        <f aca="true" t="shared" si="14" ref="G2003:G2008">E2003*F2003</f>
        <v>3.04</v>
      </c>
    </row>
    <row r="2004" spans="1:7" ht="25.5">
      <c r="A2004" s="173" t="s">
        <v>577</v>
      </c>
      <c r="B2004" s="174" t="s">
        <v>578</v>
      </c>
      <c r="C2004" s="175" t="s">
        <v>73</v>
      </c>
      <c r="D2004" s="175" t="s">
        <v>75</v>
      </c>
      <c r="E2004" s="434">
        <v>0.012</v>
      </c>
      <c r="F2004" s="435">
        <v>41.55</v>
      </c>
      <c r="G2004" s="436">
        <f t="shared" si="14"/>
        <v>0.4986</v>
      </c>
    </row>
    <row r="2005" spans="1:7" ht="25.5">
      <c r="A2005" s="173" t="s">
        <v>579</v>
      </c>
      <c r="B2005" s="174" t="s">
        <v>580</v>
      </c>
      <c r="C2005" s="175" t="s">
        <v>73</v>
      </c>
      <c r="D2005" s="175" t="s">
        <v>75</v>
      </c>
      <c r="E2005" s="434">
        <v>0.014</v>
      </c>
      <c r="F2005" s="435">
        <v>36.08</v>
      </c>
      <c r="G2005" s="436">
        <f t="shared" si="14"/>
        <v>0.50512</v>
      </c>
    </row>
    <row r="2006" spans="1:7" ht="12.75">
      <c r="A2006" s="173" t="s">
        <v>583</v>
      </c>
      <c r="B2006" s="174" t="s">
        <v>584</v>
      </c>
      <c r="C2006" s="175" t="s">
        <v>73</v>
      </c>
      <c r="D2006" s="175" t="s">
        <v>75</v>
      </c>
      <c r="E2006" s="434">
        <v>0.02</v>
      </c>
      <c r="F2006" s="435">
        <v>1.52</v>
      </c>
      <c r="G2006" s="436">
        <f t="shared" si="14"/>
        <v>0.0304</v>
      </c>
    </row>
    <row r="2007" spans="1:7" ht="38.25">
      <c r="A2007" s="173" t="s">
        <v>492</v>
      </c>
      <c r="B2007" s="174" t="s">
        <v>493</v>
      </c>
      <c r="C2007" s="175" t="s">
        <v>72</v>
      </c>
      <c r="D2007" s="175" t="s">
        <v>77</v>
      </c>
      <c r="E2007" s="434">
        <v>0.059</v>
      </c>
      <c r="F2007" s="435">
        <v>12.86</v>
      </c>
      <c r="G2007" s="436">
        <f t="shared" si="14"/>
        <v>0.75874</v>
      </c>
    </row>
    <row r="2008" spans="1:7" ht="25.5">
      <c r="A2008" s="173" t="s">
        <v>494</v>
      </c>
      <c r="B2008" s="174" t="s">
        <v>495</v>
      </c>
      <c r="C2008" s="175" t="s">
        <v>72</v>
      </c>
      <c r="D2008" s="175" t="s">
        <v>77</v>
      </c>
      <c r="E2008" s="434">
        <v>0.059</v>
      </c>
      <c r="F2008" s="435">
        <v>15.12</v>
      </c>
      <c r="G2008" s="436">
        <f t="shared" si="14"/>
        <v>0.8920799999999999</v>
      </c>
    </row>
    <row r="2009" spans="1:7" ht="12.75">
      <c r="A2009" s="783" t="s">
        <v>439</v>
      </c>
      <c r="B2009" s="784"/>
      <c r="C2009" s="784"/>
      <c r="D2009" s="784"/>
      <c r="E2009" s="784"/>
      <c r="F2009" s="784"/>
      <c r="G2009" s="440">
        <f>ROUNDUP(SUM(G2007:G2008),2)</f>
        <v>1.66</v>
      </c>
    </row>
    <row r="2010" spans="1:7" ht="12.75">
      <c r="A2010" s="783" t="s">
        <v>440</v>
      </c>
      <c r="B2010" s="784"/>
      <c r="C2010" s="784"/>
      <c r="D2010" s="784"/>
      <c r="E2010" s="784"/>
      <c r="F2010" s="784"/>
      <c r="G2010" s="440">
        <f>SUM(G2003:G2006)</f>
        <v>4.074120000000001</v>
      </c>
    </row>
    <row r="2011" spans="1:7" ht="12.75">
      <c r="A2011" s="783" t="s">
        <v>441</v>
      </c>
      <c r="B2011" s="784"/>
      <c r="C2011" s="784"/>
      <c r="D2011" s="784"/>
      <c r="E2011" s="784"/>
      <c r="F2011" s="784"/>
      <c r="G2011" s="440">
        <f>SUM(G2009:G2010)</f>
        <v>5.734120000000001</v>
      </c>
    </row>
    <row r="2012" spans="1:7" ht="12.75">
      <c r="A2012" s="783" t="s">
        <v>442</v>
      </c>
      <c r="B2012" s="784"/>
      <c r="C2012" s="784"/>
      <c r="D2012" s="784"/>
      <c r="E2012" s="784"/>
      <c r="F2012" s="784"/>
      <c r="G2012" s="440">
        <f>G2009*85.16%</f>
        <v>1.4136559999999998</v>
      </c>
    </row>
    <row r="2013" spans="1:7" ht="12.75">
      <c r="A2013" s="783" t="s">
        <v>443</v>
      </c>
      <c r="B2013" s="784"/>
      <c r="C2013" s="784"/>
      <c r="D2013" s="784"/>
      <c r="E2013" s="784"/>
      <c r="F2013" s="784"/>
      <c r="G2013" s="440">
        <f>G2012</f>
        <v>1.4136559999999998</v>
      </c>
    </row>
    <row r="2014" spans="1:7" ht="12.75">
      <c r="A2014" s="785" t="s">
        <v>444</v>
      </c>
      <c r="B2014" s="786"/>
      <c r="C2014" s="786"/>
      <c r="D2014" s="786"/>
      <c r="E2014" s="786"/>
      <c r="F2014" s="787"/>
      <c r="G2014" s="440">
        <f>G2010</f>
        <v>4.074120000000001</v>
      </c>
    </row>
    <row r="2015" spans="1:7" ht="12.75">
      <c r="A2015" s="785" t="s">
        <v>445</v>
      </c>
      <c r="B2015" s="786"/>
      <c r="C2015" s="786"/>
      <c r="D2015" s="786"/>
      <c r="E2015" s="786"/>
      <c r="F2015" s="787"/>
      <c r="G2015" s="440">
        <f>G2009+G2013</f>
        <v>3.0736559999999997</v>
      </c>
    </row>
    <row r="2016" spans="1:7" ht="12.75">
      <c r="A2016" s="785" t="s">
        <v>446</v>
      </c>
      <c r="B2016" s="786"/>
      <c r="C2016" s="786"/>
      <c r="D2016" s="786"/>
      <c r="E2016" s="786"/>
      <c r="F2016" s="787"/>
      <c r="G2016" s="440">
        <f>SUM(G2014:G2015)</f>
        <v>7.147776</v>
      </c>
    </row>
    <row r="2017" spans="1:7" ht="12.75">
      <c r="A2017" s="796"/>
      <c r="B2017" s="797"/>
      <c r="C2017" s="797"/>
      <c r="D2017" s="797"/>
      <c r="E2017" s="797"/>
      <c r="F2017" s="797"/>
      <c r="G2017" s="798"/>
    </row>
    <row r="2018" spans="1:7" ht="12.75">
      <c r="A2018" s="804"/>
      <c r="B2018" s="805"/>
      <c r="C2018" s="805"/>
      <c r="D2018" s="805"/>
      <c r="E2018" s="805"/>
      <c r="F2018" s="805"/>
      <c r="G2018" s="806"/>
    </row>
    <row r="2019" spans="1:7" ht="12.75">
      <c r="A2019" s="594"/>
      <c r="B2019" s="595"/>
      <c r="C2019" s="595"/>
      <c r="D2019" s="595"/>
      <c r="E2019" s="595"/>
      <c r="F2019" s="595"/>
      <c r="G2019" s="596"/>
    </row>
    <row r="2020" spans="1:7" ht="12.75">
      <c r="A2020" s="594"/>
      <c r="B2020" s="595"/>
      <c r="C2020" s="595"/>
      <c r="D2020" s="595"/>
      <c r="E2020" s="595"/>
      <c r="F2020" s="595"/>
      <c r="G2020" s="596"/>
    </row>
    <row r="2021" spans="1:7" ht="12.75">
      <c r="A2021" s="715" t="s">
        <v>1699</v>
      </c>
      <c r="B2021" s="595"/>
      <c r="C2021" s="595"/>
      <c r="D2021" s="595"/>
      <c r="E2021" s="595"/>
      <c r="F2021" s="595"/>
      <c r="G2021" s="596"/>
    </row>
    <row r="2022" spans="1:7" ht="63.75">
      <c r="A2022" s="171" t="s">
        <v>613</v>
      </c>
      <c r="B2022" s="182" t="s">
        <v>614</v>
      </c>
      <c r="C2022" s="172" t="s">
        <v>72</v>
      </c>
      <c r="D2022" s="172" t="s">
        <v>75</v>
      </c>
      <c r="E2022" s="373"/>
      <c r="F2022" s="374"/>
      <c r="G2022" s="375"/>
    </row>
    <row r="2023" spans="1:7" ht="38.25">
      <c r="A2023" s="173" t="s">
        <v>615</v>
      </c>
      <c r="B2023" s="174" t="s">
        <v>616</v>
      </c>
      <c r="C2023" s="175" t="s">
        <v>73</v>
      </c>
      <c r="D2023" s="175" t="s">
        <v>75</v>
      </c>
      <c r="E2023" s="434">
        <v>1</v>
      </c>
      <c r="F2023" s="435">
        <v>7.26</v>
      </c>
      <c r="G2023" s="436">
        <f aca="true" t="shared" si="15" ref="G2023:G2028">E2023*F2023</f>
        <v>7.26</v>
      </c>
    </row>
    <row r="2024" spans="1:7" ht="25.5">
      <c r="A2024" s="173" t="s">
        <v>577</v>
      </c>
      <c r="B2024" s="174" t="s">
        <v>578</v>
      </c>
      <c r="C2024" s="175" t="s">
        <v>73</v>
      </c>
      <c r="D2024" s="175" t="s">
        <v>75</v>
      </c>
      <c r="E2024" s="434">
        <v>0.024</v>
      </c>
      <c r="F2024" s="435">
        <v>41.55</v>
      </c>
      <c r="G2024" s="436">
        <f t="shared" si="15"/>
        <v>0.9972</v>
      </c>
    </row>
    <row r="2025" spans="1:7" ht="25.5">
      <c r="A2025" s="173" t="s">
        <v>579</v>
      </c>
      <c r="B2025" s="174" t="s">
        <v>580</v>
      </c>
      <c r="C2025" s="175" t="s">
        <v>73</v>
      </c>
      <c r="D2025" s="175" t="s">
        <v>75</v>
      </c>
      <c r="E2025" s="434">
        <v>0.03</v>
      </c>
      <c r="F2025" s="435">
        <v>36.08</v>
      </c>
      <c r="G2025" s="436">
        <f t="shared" si="15"/>
        <v>1.0823999999999998</v>
      </c>
    </row>
    <row r="2026" spans="1:7" ht="12.75">
      <c r="A2026" s="173" t="s">
        <v>583</v>
      </c>
      <c r="B2026" s="174" t="s">
        <v>584</v>
      </c>
      <c r="C2026" s="175" t="s">
        <v>73</v>
      </c>
      <c r="D2026" s="175" t="s">
        <v>75</v>
      </c>
      <c r="E2026" s="434">
        <v>0.028</v>
      </c>
      <c r="F2026" s="435">
        <v>1.52</v>
      </c>
      <c r="G2026" s="436">
        <f t="shared" si="15"/>
        <v>0.04256</v>
      </c>
    </row>
    <row r="2027" spans="1:7" ht="38.25">
      <c r="A2027" s="173" t="s">
        <v>492</v>
      </c>
      <c r="B2027" s="174" t="s">
        <v>493</v>
      </c>
      <c r="C2027" s="175" t="s">
        <v>72</v>
      </c>
      <c r="D2027" s="175" t="s">
        <v>77</v>
      </c>
      <c r="E2027" s="434">
        <v>0.085</v>
      </c>
      <c r="F2027" s="435">
        <v>12.86</v>
      </c>
      <c r="G2027" s="436">
        <f t="shared" si="15"/>
        <v>1.0931</v>
      </c>
    </row>
    <row r="2028" spans="1:7" ht="25.5">
      <c r="A2028" s="173" t="s">
        <v>494</v>
      </c>
      <c r="B2028" s="174" t="s">
        <v>495</v>
      </c>
      <c r="C2028" s="175" t="s">
        <v>72</v>
      </c>
      <c r="D2028" s="175" t="s">
        <v>77</v>
      </c>
      <c r="E2028" s="434">
        <v>0.085</v>
      </c>
      <c r="F2028" s="435">
        <v>15.12</v>
      </c>
      <c r="G2028" s="436">
        <f t="shared" si="15"/>
        <v>1.2852000000000001</v>
      </c>
    </row>
    <row r="2029" spans="1:7" ht="12.75">
      <c r="A2029" s="783" t="s">
        <v>439</v>
      </c>
      <c r="B2029" s="784"/>
      <c r="C2029" s="784"/>
      <c r="D2029" s="784"/>
      <c r="E2029" s="784"/>
      <c r="F2029" s="784"/>
      <c r="G2029" s="440">
        <f>ROUNDUP(SUM(G2027:G2028),2)</f>
        <v>2.38</v>
      </c>
    </row>
    <row r="2030" spans="1:7" ht="12.75">
      <c r="A2030" s="783" t="s">
        <v>440</v>
      </c>
      <c r="B2030" s="784"/>
      <c r="C2030" s="784"/>
      <c r="D2030" s="784"/>
      <c r="E2030" s="784"/>
      <c r="F2030" s="784"/>
      <c r="G2030" s="440">
        <f>SUM(G2023:G2026)</f>
        <v>9.382159999999999</v>
      </c>
    </row>
    <row r="2031" spans="1:7" ht="12.75">
      <c r="A2031" s="783" t="s">
        <v>441</v>
      </c>
      <c r="B2031" s="784"/>
      <c r="C2031" s="784"/>
      <c r="D2031" s="784"/>
      <c r="E2031" s="784"/>
      <c r="F2031" s="784"/>
      <c r="G2031" s="440">
        <f>SUM(G2029:G2030)</f>
        <v>11.762159999999998</v>
      </c>
    </row>
    <row r="2032" spans="1:7" ht="12.75">
      <c r="A2032" s="783" t="s">
        <v>442</v>
      </c>
      <c r="B2032" s="784"/>
      <c r="C2032" s="784"/>
      <c r="D2032" s="784"/>
      <c r="E2032" s="784"/>
      <c r="F2032" s="784"/>
      <c r="G2032" s="440">
        <f>G2029*85.16%</f>
        <v>2.0268079999999995</v>
      </c>
    </row>
    <row r="2033" spans="1:7" ht="12.75">
      <c r="A2033" s="783" t="s">
        <v>443</v>
      </c>
      <c r="B2033" s="784"/>
      <c r="C2033" s="784"/>
      <c r="D2033" s="784"/>
      <c r="E2033" s="784"/>
      <c r="F2033" s="784"/>
      <c r="G2033" s="440">
        <f>G2032</f>
        <v>2.0268079999999995</v>
      </c>
    </row>
    <row r="2034" spans="1:7" ht="12.75">
      <c r="A2034" s="785" t="s">
        <v>444</v>
      </c>
      <c r="B2034" s="786"/>
      <c r="C2034" s="786"/>
      <c r="D2034" s="786"/>
      <c r="E2034" s="786"/>
      <c r="F2034" s="787"/>
      <c r="G2034" s="440">
        <f>G2030</f>
        <v>9.382159999999999</v>
      </c>
    </row>
    <row r="2035" spans="1:7" ht="12.75">
      <c r="A2035" s="785" t="s">
        <v>445</v>
      </c>
      <c r="B2035" s="786"/>
      <c r="C2035" s="786"/>
      <c r="D2035" s="786"/>
      <c r="E2035" s="786"/>
      <c r="F2035" s="787"/>
      <c r="G2035" s="440">
        <f>G2029+G2033</f>
        <v>4.406808</v>
      </c>
    </row>
    <row r="2036" spans="1:7" ht="12.75">
      <c r="A2036" s="785" t="s">
        <v>446</v>
      </c>
      <c r="B2036" s="786"/>
      <c r="C2036" s="786"/>
      <c r="D2036" s="786"/>
      <c r="E2036" s="786"/>
      <c r="F2036" s="787"/>
      <c r="G2036" s="440">
        <f>SUM(G2034:G2035)</f>
        <v>13.788967999999999</v>
      </c>
    </row>
    <row r="2037" spans="1:7" ht="12.75">
      <c r="A2037" s="796"/>
      <c r="B2037" s="797"/>
      <c r="C2037" s="797"/>
      <c r="D2037" s="797"/>
      <c r="E2037" s="797"/>
      <c r="F2037" s="797"/>
      <c r="G2037" s="798"/>
    </row>
    <row r="2038" spans="1:7" ht="12.75">
      <c r="A2038" s="804"/>
      <c r="B2038" s="805"/>
      <c r="C2038" s="805"/>
      <c r="D2038" s="805"/>
      <c r="E2038" s="805"/>
      <c r="F2038" s="805"/>
      <c r="G2038" s="806"/>
    </row>
    <row r="2039" spans="1:7" ht="12.75">
      <c r="A2039" s="594"/>
      <c r="B2039" s="595"/>
      <c r="C2039" s="595"/>
      <c r="D2039" s="595"/>
      <c r="E2039" s="595"/>
      <c r="F2039" s="595"/>
      <c r="G2039" s="596"/>
    </row>
    <row r="2040" spans="1:7" ht="12.75">
      <c r="A2040" s="594"/>
      <c r="B2040" s="595"/>
      <c r="C2040" s="595"/>
      <c r="D2040" s="595"/>
      <c r="E2040" s="595"/>
      <c r="F2040" s="595"/>
      <c r="G2040" s="596"/>
    </row>
    <row r="2041" spans="1:7" ht="12.75">
      <c r="A2041" s="597" t="s">
        <v>1527</v>
      </c>
      <c r="B2041" s="597" t="s">
        <v>1528</v>
      </c>
      <c r="C2041" s="595"/>
      <c r="D2041" s="595"/>
      <c r="E2041" s="595"/>
      <c r="F2041" s="595"/>
      <c r="G2041" s="596"/>
    </row>
    <row r="2042" spans="1:7" ht="12.75">
      <c r="A2042" s="597" t="s">
        <v>1700</v>
      </c>
      <c r="B2042" s="597"/>
      <c r="C2042" s="595"/>
      <c r="D2042" s="595"/>
      <c r="E2042" s="595"/>
      <c r="F2042" s="595"/>
      <c r="G2042" s="596"/>
    </row>
    <row r="2043" spans="1:7" ht="25.5">
      <c r="A2043" s="171" t="s">
        <v>686</v>
      </c>
      <c r="B2043" s="182" t="s">
        <v>242</v>
      </c>
      <c r="C2043" s="172" t="s">
        <v>72</v>
      </c>
      <c r="D2043" s="172" t="s">
        <v>75</v>
      </c>
      <c r="E2043" s="373"/>
      <c r="F2043" s="374"/>
      <c r="G2043" s="375"/>
    </row>
    <row r="2044" spans="1:7" ht="25.5">
      <c r="A2044" s="173" t="s">
        <v>579</v>
      </c>
      <c r="B2044" s="174" t="s">
        <v>580</v>
      </c>
      <c r="C2044" s="175" t="s">
        <v>73</v>
      </c>
      <c r="D2044" s="175" t="s">
        <v>75</v>
      </c>
      <c r="E2044" s="434">
        <v>0.1</v>
      </c>
      <c r="F2044" s="435">
        <v>36.08</v>
      </c>
      <c r="G2044" s="436">
        <f>E2044*F2044</f>
        <v>3.608</v>
      </c>
    </row>
    <row r="2045" spans="1:7" ht="38.25">
      <c r="A2045" s="173" t="s">
        <v>687</v>
      </c>
      <c r="B2045" s="174" t="s">
        <v>688</v>
      </c>
      <c r="C2045" s="175" t="s">
        <v>73</v>
      </c>
      <c r="D2045" s="175" t="s">
        <v>75</v>
      </c>
      <c r="E2045" s="434">
        <v>1</v>
      </c>
      <c r="F2045" s="435">
        <v>9.89</v>
      </c>
      <c r="G2045" s="436">
        <f>E2045*F2045</f>
        <v>9.89</v>
      </c>
    </row>
    <row r="2046" spans="1:7" ht="38.25">
      <c r="A2046" s="173" t="s">
        <v>492</v>
      </c>
      <c r="B2046" s="174" t="s">
        <v>493</v>
      </c>
      <c r="C2046" s="175" t="s">
        <v>72</v>
      </c>
      <c r="D2046" s="175" t="s">
        <v>77</v>
      </c>
      <c r="E2046" s="434">
        <v>0.18</v>
      </c>
      <c r="F2046" s="435">
        <v>12.86</v>
      </c>
      <c r="G2046" s="436">
        <f>E2046*F2046</f>
        <v>2.3148</v>
      </c>
    </row>
    <row r="2047" spans="1:7" ht="25.5">
      <c r="A2047" s="173" t="s">
        <v>494</v>
      </c>
      <c r="B2047" s="174" t="s">
        <v>495</v>
      </c>
      <c r="C2047" s="175" t="s">
        <v>72</v>
      </c>
      <c r="D2047" s="175" t="s">
        <v>77</v>
      </c>
      <c r="E2047" s="434">
        <v>0.18</v>
      </c>
      <c r="F2047" s="435">
        <v>15.12</v>
      </c>
      <c r="G2047" s="436">
        <f>E2047*F2047</f>
        <v>2.7215999999999996</v>
      </c>
    </row>
    <row r="2048" spans="1:7" ht="12.75">
      <c r="A2048" s="783" t="s">
        <v>439</v>
      </c>
      <c r="B2048" s="784"/>
      <c r="C2048" s="784"/>
      <c r="D2048" s="784"/>
      <c r="E2048" s="784"/>
      <c r="F2048" s="784"/>
      <c r="G2048" s="440">
        <f>ROUNDUP(SUM(G2046:G2047),2)</f>
        <v>5.04</v>
      </c>
    </row>
    <row r="2049" spans="1:7" ht="12.75">
      <c r="A2049" s="783" t="s">
        <v>440</v>
      </c>
      <c r="B2049" s="784"/>
      <c r="C2049" s="784"/>
      <c r="D2049" s="784"/>
      <c r="E2049" s="784"/>
      <c r="F2049" s="784"/>
      <c r="G2049" s="440">
        <f>SUM(G2044:G2045)</f>
        <v>13.498000000000001</v>
      </c>
    </row>
    <row r="2050" spans="1:7" ht="12.75">
      <c r="A2050" s="783" t="s">
        <v>441</v>
      </c>
      <c r="B2050" s="784"/>
      <c r="C2050" s="784"/>
      <c r="D2050" s="784"/>
      <c r="E2050" s="784"/>
      <c r="F2050" s="784"/>
      <c r="G2050" s="440">
        <f>SUM(G2048:G2049)</f>
        <v>18.538</v>
      </c>
    </row>
    <row r="2051" spans="1:7" ht="12.75">
      <c r="A2051" s="783" t="s">
        <v>442</v>
      </c>
      <c r="B2051" s="784"/>
      <c r="C2051" s="784"/>
      <c r="D2051" s="784"/>
      <c r="E2051" s="784"/>
      <c r="F2051" s="784"/>
      <c r="G2051" s="440">
        <f>G2048*85.16%</f>
        <v>4.292064</v>
      </c>
    </row>
    <row r="2052" spans="1:7" ht="12.75">
      <c r="A2052" s="783" t="s">
        <v>443</v>
      </c>
      <c r="B2052" s="784"/>
      <c r="C2052" s="784"/>
      <c r="D2052" s="784"/>
      <c r="E2052" s="784"/>
      <c r="F2052" s="784"/>
      <c r="G2052" s="440">
        <f>G2051</f>
        <v>4.292064</v>
      </c>
    </row>
    <row r="2053" spans="1:7" ht="12.75">
      <c r="A2053" s="785" t="s">
        <v>444</v>
      </c>
      <c r="B2053" s="786"/>
      <c r="C2053" s="786"/>
      <c r="D2053" s="786"/>
      <c r="E2053" s="786"/>
      <c r="F2053" s="787"/>
      <c r="G2053" s="440">
        <f>G2049</f>
        <v>13.498000000000001</v>
      </c>
    </row>
    <row r="2054" spans="1:7" ht="12.75">
      <c r="A2054" s="785" t="s">
        <v>445</v>
      </c>
      <c r="B2054" s="786"/>
      <c r="C2054" s="786"/>
      <c r="D2054" s="786"/>
      <c r="E2054" s="786"/>
      <c r="F2054" s="787"/>
      <c r="G2054" s="440">
        <f>G2048+G2052</f>
        <v>9.332063999999999</v>
      </c>
    </row>
    <row r="2055" spans="1:7" ht="12.75">
      <c r="A2055" s="785" t="s">
        <v>446</v>
      </c>
      <c r="B2055" s="786"/>
      <c r="C2055" s="786"/>
      <c r="D2055" s="786"/>
      <c r="E2055" s="786"/>
      <c r="F2055" s="787"/>
      <c r="G2055" s="440">
        <f>SUM(G2053:G2054)</f>
        <v>22.830064</v>
      </c>
    </row>
    <row r="2056" spans="1:7" ht="12.75">
      <c r="A2056" s="796"/>
      <c r="B2056" s="797"/>
      <c r="C2056" s="797"/>
      <c r="D2056" s="797"/>
      <c r="E2056" s="797"/>
      <c r="F2056" s="797"/>
      <c r="G2056" s="798"/>
    </row>
    <row r="2057" spans="1:7" ht="12.75">
      <c r="A2057" s="491" t="s">
        <v>83</v>
      </c>
      <c r="B2057" s="799" t="s">
        <v>1280</v>
      </c>
      <c r="C2057" s="799"/>
      <c r="D2057" s="799"/>
      <c r="E2057" s="799"/>
      <c r="F2057" s="799"/>
      <c r="G2057" s="800"/>
    </row>
    <row r="2058" spans="1:7" ht="12.75">
      <c r="A2058" s="804"/>
      <c r="B2058" s="805"/>
      <c r="C2058" s="805"/>
      <c r="D2058" s="805"/>
      <c r="E2058" s="805"/>
      <c r="F2058" s="805"/>
      <c r="G2058" s="806"/>
    </row>
    <row r="2059" spans="1:7" ht="12.75">
      <c r="A2059" s="594"/>
      <c r="B2059" s="595"/>
      <c r="C2059" s="595"/>
      <c r="D2059" s="595"/>
      <c r="E2059" s="595"/>
      <c r="F2059" s="595"/>
      <c r="G2059" s="596"/>
    </row>
    <row r="2060" spans="1:7" ht="12.75">
      <c r="A2060" s="597" t="s">
        <v>1529</v>
      </c>
      <c r="B2060" s="597" t="s">
        <v>1530</v>
      </c>
      <c r="C2060" s="595"/>
      <c r="D2060" s="595"/>
      <c r="E2060" s="595"/>
      <c r="F2060" s="595"/>
      <c r="G2060" s="596"/>
    </row>
    <row r="2061" spans="1:7" ht="12.75">
      <c r="A2061" s="597" t="s">
        <v>1706</v>
      </c>
      <c r="B2061" s="597"/>
      <c r="C2061" s="595"/>
      <c r="D2061" s="595"/>
      <c r="E2061" s="595"/>
      <c r="F2061" s="595"/>
      <c r="G2061" s="596"/>
    </row>
    <row r="2062" spans="1:7" ht="51">
      <c r="A2062" s="171" t="s">
        <v>575</v>
      </c>
      <c r="B2062" s="182" t="s">
        <v>576</v>
      </c>
      <c r="C2062" s="172" t="s">
        <v>72</v>
      </c>
      <c r="D2062" s="172" t="s">
        <v>75</v>
      </c>
      <c r="E2062" s="373"/>
      <c r="F2062" s="374"/>
      <c r="G2062" s="375"/>
    </row>
    <row r="2063" spans="1:7" ht="25.5">
      <c r="A2063" s="173" t="s">
        <v>577</v>
      </c>
      <c r="B2063" s="174" t="s">
        <v>578</v>
      </c>
      <c r="C2063" s="175" t="s">
        <v>73</v>
      </c>
      <c r="D2063" s="175" t="s">
        <v>75</v>
      </c>
      <c r="E2063" s="434">
        <v>0.007</v>
      </c>
      <c r="F2063" s="435">
        <v>41.55</v>
      </c>
      <c r="G2063" s="436">
        <f aca="true" t="shared" si="16" ref="G2063:G2068">E2063*F2063</f>
        <v>0.29085</v>
      </c>
    </row>
    <row r="2064" spans="1:7" ht="25.5">
      <c r="A2064" s="173" t="s">
        <v>579</v>
      </c>
      <c r="B2064" s="174" t="s">
        <v>580</v>
      </c>
      <c r="C2064" s="175" t="s">
        <v>73</v>
      </c>
      <c r="D2064" s="175" t="s">
        <v>75</v>
      </c>
      <c r="E2064" s="434">
        <v>0.008</v>
      </c>
      <c r="F2064" s="435">
        <v>36.08</v>
      </c>
      <c r="G2064" s="436">
        <f t="shared" si="16"/>
        <v>0.28864</v>
      </c>
    </row>
    <row r="2065" spans="1:7" ht="25.5">
      <c r="A2065" s="173" t="s">
        <v>581</v>
      </c>
      <c r="B2065" s="174" t="s">
        <v>582</v>
      </c>
      <c r="C2065" s="175" t="s">
        <v>73</v>
      </c>
      <c r="D2065" s="175" t="s">
        <v>75</v>
      </c>
      <c r="E2065" s="434">
        <v>1</v>
      </c>
      <c r="F2065" s="435">
        <v>0.52</v>
      </c>
      <c r="G2065" s="436">
        <f t="shared" si="16"/>
        <v>0.52</v>
      </c>
    </row>
    <row r="2066" spans="1:7" ht="12.75">
      <c r="A2066" s="173" t="s">
        <v>583</v>
      </c>
      <c r="B2066" s="174" t="s">
        <v>584</v>
      </c>
      <c r="C2066" s="175" t="s">
        <v>73</v>
      </c>
      <c r="D2066" s="175" t="s">
        <v>75</v>
      </c>
      <c r="E2066" s="434">
        <v>0.05</v>
      </c>
      <c r="F2066" s="435">
        <v>1.52</v>
      </c>
      <c r="G2066" s="436">
        <f t="shared" si="16"/>
        <v>0.07600000000000001</v>
      </c>
    </row>
    <row r="2067" spans="1:7" ht="38.25">
      <c r="A2067" s="173" t="s">
        <v>492</v>
      </c>
      <c r="B2067" s="174" t="s">
        <v>493</v>
      </c>
      <c r="C2067" s="175" t="s">
        <v>72</v>
      </c>
      <c r="D2067" s="175" t="s">
        <v>77</v>
      </c>
      <c r="E2067" s="434">
        <v>0.15</v>
      </c>
      <c r="F2067" s="435">
        <v>12.86</v>
      </c>
      <c r="G2067" s="436">
        <f t="shared" si="16"/>
        <v>1.9289999999999998</v>
      </c>
    </row>
    <row r="2068" spans="1:7" ht="25.5">
      <c r="A2068" s="173" t="s">
        <v>494</v>
      </c>
      <c r="B2068" s="174" t="s">
        <v>495</v>
      </c>
      <c r="C2068" s="175" t="s">
        <v>72</v>
      </c>
      <c r="D2068" s="175" t="s">
        <v>77</v>
      </c>
      <c r="E2068" s="434">
        <v>0.15</v>
      </c>
      <c r="F2068" s="435">
        <v>15.12</v>
      </c>
      <c r="G2068" s="436">
        <f t="shared" si="16"/>
        <v>2.268</v>
      </c>
    </row>
    <row r="2069" spans="1:7" ht="12.75">
      <c r="A2069" s="783" t="s">
        <v>439</v>
      </c>
      <c r="B2069" s="784"/>
      <c r="C2069" s="784"/>
      <c r="D2069" s="784"/>
      <c r="E2069" s="784"/>
      <c r="F2069" s="784"/>
      <c r="G2069" s="440">
        <f>ROUNDUP(SUM(G2067:G2068),2)</f>
        <v>4.2</v>
      </c>
    </row>
    <row r="2070" spans="1:7" ht="12.75">
      <c r="A2070" s="783" t="s">
        <v>440</v>
      </c>
      <c r="B2070" s="784"/>
      <c r="C2070" s="784"/>
      <c r="D2070" s="784"/>
      <c r="E2070" s="784"/>
      <c r="F2070" s="784"/>
      <c r="G2070" s="440">
        <f>SUM(G2063:G2066)</f>
        <v>1.1754900000000001</v>
      </c>
    </row>
    <row r="2071" spans="1:7" ht="12.75">
      <c r="A2071" s="783" t="s">
        <v>441</v>
      </c>
      <c r="B2071" s="784"/>
      <c r="C2071" s="784"/>
      <c r="D2071" s="784"/>
      <c r="E2071" s="784"/>
      <c r="F2071" s="784"/>
      <c r="G2071" s="440">
        <f>SUM(G2069:G2070)</f>
        <v>5.37549</v>
      </c>
    </row>
    <row r="2072" spans="1:7" ht="12.75">
      <c r="A2072" s="783" t="s">
        <v>442</v>
      </c>
      <c r="B2072" s="784"/>
      <c r="C2072" s="784"/>
      <c r="D2072" s="784"/>
      <c r="E2072" s="784"/>
      <c r="F2072" s="784"/>
      <c r="G2072" s="440">
        <f>G2069*85.16%</f>
        <v>3.57672</v>
      </c>
    </row>
    <row r="2073" spans="1:7" ht="12.75">
      <c r="A2073" s="783" t="s">
        <v>443</v>
      </c>
      <c r="B2073" s="784"/>
      <c r="C2073" s="784"/>
      <c r="D2073" s="784"/>
      <c r="E2073" s="784"/>
      <c r="F2073" s="784"/>
      <c r="G2073" s="440">
        <f>G2072</f>
        <v>3.57672</v>
      </c>
    </row>
    <row r="2074" spans="1:7" ht="12.75">
      <c r="A2074" s="785" t="s">
        <v>444</v>
      </c>
      <c r="B2074" s="786"/>
      <c r="C2074" s="786"/>
      <c r="D2074" s="786"/>
      <c r="E2074" s="786"/>
      <c r="F2074" s="787"/>
      <c r="G2074" s="440">
        <f>G2070</f>
        <v>1.1754900000000001</v>
      </c>
    </row>
    <row r="2075" spans="1:7" ht="12.75">
      <c r="A2075" s="785" t="s">
        <v>445</v>
      </c>
      <c r="B2075" s="786"/>
      <c r="C2075" s="786"/>
      <c r="D2075" s="786"/>
      <c r="E2075" s="786"/>
      <c r="F2075" s="787"/>
      <c r="G2075" s="440">
        <f>G2069+G2073</f>
        <v>7.77672</v>
      </c>
    </row>
    <row r="2076" spans="1:7" ht="12.75">
      <c r="A2076" s="785" t="s">
        <v>446</v>
      </c>
      <c r="B2076" s="786"/>
      <c r="C2076" s="786"/>
      <c r="D2076" s="786"/>
      <c r="E2076" s="786"/>
      <c r="F2076" s="787"/>
      <c r="G2076" s="440">
        <f>SUM(G2074:G2075)</f>
        <v>8.952210000000001</v>
      </c>
    </row>
    <row r="2077" spans="1:7" ht="12.75">
      <c r="A2077" s="796"/>
      <c r="B2077" s="797"/>
      <c r="C2077" s="797"/>
      <c r="D2077" s="797"/>
      <c r="E2077" s="797"/>
      <c r="F2077" s="797"/>
      <c r="G2077" s="798"/>
    </row>
    <row r="2078" spans="1:7" ht="12.75">
      <c r="A2078" s="804"/>
      <c r="B2078" s="805"/>
      <c r="C2078" s="805"/>
      <c r="D2078" s="805"/>
      <c r="E2078" s="805"/>
      <c r="F2078" s="805"/>
      <c r="G2078" s="806"/>
    </row>
    <row r="2079" spans="1:7" ht="12.75">
      <c r="A2079" s="594"/>
      <c r="B2079" s="595"/>
      <c r="C2079" s="595"/>
      <c r="D2079" s="595"/>
      <c r="E2079" s="595"/>
      <c r="F2079" s="595"/>
      <c r="G2079" s="596"/>
    </row>
    <row r="2080" spans="1:7" ht="12.75">
      <c r="A2080" s="714" t="s">
        <v>1707</v>
      </c>
      <c r="B2080" s="595"/>
      <c r="C2080" s="595"/>
      <c r="D2080" s="595"/>
      <c r="E2080" s="595"/>
      <c r="F2080" s="595"/>
      <c r="G2080" s="596"/>
    </row>
    <row r="2081" spans="1:7" ht="51">
      <c r="A2081" s="171" t="s">
        <v>601</v>
      </c>
      <c r="B2081" s="182" t="s">
        <v>602</v>
      </c>
      <c r="C2081" s="172" t="s">
        <v>72</v>
      </c>
      <c r="D2081" s="172" t="s">
        <v>75</v>
      </c>
      <c r="E2081" s="373"/>
      <c r="F2081" s="374"/>
      <c r="G2081" s="375"/>
    </row>
    <row r="2082" spans="1:7" ht="25.5">
      <c r="A2082" s="173" t="s">
        <v>577</v>
      </c>
      <c r="B2082" s="174" t="s">
        <v>578</v>
      </c>
      <c r="C2082" s="175" t="s">
        <v>73</v>
      </c>
      <c r="D2082" s="175" t="s">
        <v>75</v>
      </c>
      <c r="E2082" s="434">
        <v>0.018</v>
      </c>
      <c r="F2082" s="435">
        <v>41.55</v>
      </c>
      <c r="G2082" s="436">
        <f aca="true" t="shared" si="17" ref="G2082:G2087">E2082*F2082</f>
        <v>0.7478999999999999</v>
      </c>
    </row>
    <row r="2083" spans="1:7" ht="25.5">
      <c r="A2083" s="173" t="s">
        <v>579</v>
      </c>
      <c r="B2083" s="174" t="s">
        <v>580</v>
      </c>
      <c r="C2083" s="175" t="s">
        <v>73</v>
      </c>
      <c r="D2083" s="175" t="s">
        <v>75</v>
      </c>
      <c r="E2083" s="434">
        <v>0.022</v>
      </c>
      <c r="F2083" s="435">
        <v>36.08</v>
      </c>
      <c r="G2083" s="436">
        <f t="shared" si="17"/>
        <v>0.7937599999999999</v>
      </c>
    </row>
    <row r="2084" spans="1:7" ht="25.5">
      <c r="A2084" s="173" t="s">
        <v>603</v>
      </c>
      <c r="B2084" s="174" t="s">
        <v>604</v>
      </c>
      <c r="C2084" s="175" t="s">
        <v>73</v>
      </c>
      <c r="D2084" s="175" t="s">
        <v>75</v>
      </c>
      <c r="E2084" s="434">
        <v>1</v>
      </c>
      <c r="F2084" s="435">
        <v>3.65</v>
      </c>
      <c r="G2084" s="436">
        <f t="shared" si="17"/>
        <v>3.65</v>
      </c>
    </row>
    <row r="2085" spans="1:7" ht="12.75">
      <c r="A2085" s="173" t="s">
        <v>583</v>
      </c>
      <c r="B2085" s="174" t="s">
        <v>584</v>
      </c>
      <c r="C2085" s="175" t="s">
        <v>73</v>
      </c>
      <c r="D2085" s="175" t="s">
        <v>75</v>
      </c>
      <c r="E2085" s="434">
        <v>0.024</v>
      </c>
      <c r="F2085" s="435">
        <v>1.52</v>
      </c>
      <c r="G2085" s="436">
        <f t="shared" si="17"/>
        <v>0.03648</v>
      </c>
    </row>
    <row r="2086" spans="1:7" ht="38.25">
      <c r="A2086" s="173" t="s">
        <v>492</v>
      </c>
      <c r="B2086" s="174" t="s">
        <v>493</v>
      </c>
      <c r="C2086" s="175" t="s">
        <v>72</v>
      </c>
      <c r="D2086" s="175" t="s">
        <v>77</v>
      </c>
      <c r="E2086" s="434">
        <v>0.108</v>
      </c>
      <c r="F2086" s="435">
        <v>12.86</v>
      </c>
      <c r="G2086" s="436">
        <f t="shared" si="17"/>
        <v>1.38888</v>
      </c>
    </row>
    <row r="2087" spans="1:7" ht="25.5">
      <c r="A2087" s="173" t="s">
        <v>494</v>
      </c>
      <c r="B2087" s="174" t="s">
        <v>495</v>
      </c>
      <c r="C2087" s="175" t="s">
        <v>72</v>
      </c>
      <c r="D2087" s="175" t="s">
        <v>77</v>
      </c>
      <c r="E2087" s="434">
        <v>0.108</v>
      </c>
      <c r="F2087" s="435">
        <v>15.12</v>
      </c>
      <c r="G2087" s="436">
        <f t="shared" si="17"/>
        <v>1.63296</v>
      </c>
    </row>
    <row r="2088" spans="1:7" ht="12.75">
      <c r="A2088" s="783" t="s">
        <v>439</v>
      </c>
      <c r="B2088" s="784"/>
      <c r="C2088" s="784"/>
      <c r="D2088" s="784"/>
      <c r="E2088" s="784"/>
      <c r="F2088" s="784"/>
      <c r="G2088" s="440">
        <f>ROUNDUP(SUM(G2086:G2087),2)</f>
        <v>3.03</v>
      </c>
    </row>
    <row r="2089" spans="1:7" ht="12.75">
      <c r="A2089" s="783" t="s">
        <v>440</v>
      </c>
      <c r="B2089" s="784"/>
      <c r="C2089" s="784"/>
      <c r="D2089" s="784"/>
      <c r="E2089" s="784"/>
      <c r="F2089" s="784"/>
      <c r="G2089" s="440">
        <f>SUM(G2082:G2085)</f>
        <v>5.22814</v>
      </c>
    </row>
    <row r="2090" spans="1:7" ht="12.75">
      <c r="A2090" s="783" t="s">
        <v>441</v>
      </c>
      <c r="B2090" s="784"/>
      <c r="C2090" s="784"/>
      <c r="D2090" s="784"/>
      <c r="E2090" s="784"/>
      <c r="F2090" s="784"/>
      <c r="G2090" s="440">
        <f>SUM(G2088:G2089)</f>
        <v>8.25814</v>
      </c>
    </row>
    <row r="2091" spans="1:7" ht="12.75">
      <c r="A2091" s="783" t="s">
        <v>442</v>
      </c>
      <c r="B2091" s="784"/>
      <c r="C2091" s="784"/>
      <c r="D2091" s="784"/>
      <c r="E2091" s="784"/>
      <c r="F2091" s="784"/>
      <c r="G2091" s="440">
        <f>G2088*85.16%</f>
        <v>2.5803479999999994</v>
      </c>
    </row>
    <row r="2092" spans="1:7" ht="12.75">
      <c r="A2092" s="783" t="s">
        <v>443</v>
      </c>
      <c r="B2092" s="784"/>
      <c r="C2092" s="784"/>
      <c r="D2092" s="784"/>
      <c r="E2092" s="784"/>
      <c r="F2092" s="784"/>
      <c r="G2092" s="440">
        <f>G2091</f>
        <v>2.5803479999999994</v>
      </c>
    </row>
    <row r="2093" spans="1:7" ht="12.75">
      <c r="A2093" s="785" t="s">
        <v>444</v>
      </c>
      <c r="B2093" s="786"/>
      <c r="C2093" s="786"/>
      <c r="D2093" s="786"/>
      <c r="E2093" s="786"/>
      <c r="F2093" s="787"/>
      <c r="G2093" s="440">
        <f>G2089</f>
        <v>5.22814</v>
      </c>
    </row>
    <row r="2094" spans="1:7" ht="12.75">
      <c r="A2094" s="785" t="s">
        <v>445</v>
      </c>
      <c r="B2094" s="786"/>
      <c r="C2094" s="786"/>
      <c r="D2094" s="786"/>
      <c r="E2094" s="786"/>
      <c r="F2094" s="787"/>
      <c r="G2094" s="440">
        <f>G2088+G2092</f>
        <v>5.610347999999999</v>
      </c>
    </row>
    <row r="2095" spans="1:7" ht="12.75">
      <c r="A2095" s="785" t="s">
        <v>446</v>
      </c>
      <c r="B2095" s="786"/>
      <c r="C2095" s="786"/>
      <c r="D2095" s="786"/>
      <c r="E2095" s="786"/>
      <c r="F2095" s="787"/>
      <c r="G2095" s="440">
        <f>SUM(G2093:G2094)</f>
        <v>10.838487999999998</v>
      </c>
    </row>
    <row r="2096" spans="1:7" ht="12.75">
      <c r="A2096" s="796"/>
      <c r="B2096" s="797"/>
      <c r="C2096" s="797"/>
      <c r="D2096" s="797"/>
      <c r="E2096" s="797"/>
      <c r="F2096" s="797"/>
      <c r="G2096" s="798"/>
    </row>
    <row r="2097" spans="1:7" ht="12.75">
      <c r="A2097" s="804"/>
      <c r="B2097" s="805"/>
      <c r="C2097" s="805"/>
      <c r="D2097" s="805"/>
      <c r="E2097" s="805"/>
      <c r="F2097" s="805"/>
      <c r="G2097" s="806"/>
    </row>
    <row r="2098" spans="1:7" ht="12.75">
      <c r="A2098" s="714" t="s">
        <v>1708</v>
      </c>
      <c r="B2098" s="595"/>
      <c r="C2098" s="595"/>
      <c r="D2098" s="595"/>
      <c r="E2098" s="595"/>
      <c r="F2098" s="595"/>
      <c r="G2098" s="596"/>
    </row>
    <row r="2099" spans="1:7" ht="51">
      <c r="A2099" s="171" t="s">
        <v>605</v>
      </c>
      <c r="B2099" s="182" t="s">
        <v>606</v>
      </c>
      <c r="C2099" s="172" t="s">
        <v>72</v>
      </c>
      <c r="D2099" s="172" t="s">
        <v>75</v>
      </c>
      <c r="E2099" s="373"/>
      <c r="F2099" s="374"/>
      <c r="G2099" s="375"/>
    </row>
    <row r="2100" spans="1:7" ht="25.5">
      <c r="A2100" s="173" t="s">
        <v>577</v>
      </c>
      <c r="B2100" s="174" t="s">
        <v>578</v>
      </c>
      <c r="C2100" s="175" t="s">
        <v>73</v>
      </c>
      <c r="D2100" s="175" t="s">
        <v>75</v>
      </c>
      <c r="E2100" s="434">
        <v>0.024</v>
      </c>
      <c r="F2100" s="435">
        <v>41.55</v>
      </c>
      <c r="G2100" s="436">
        <f aca="true" t="shared" si="18" ref="G2100:G2105">E2100*F2100</f>
        <v>0.9972</v>
      </c>
    </row>
    <row r="2101" spans="1:7" ht="25.5">
      <c r="A2101" s="173" t="s">
        <v>579</v>
      </c>
      <c r="B2101" s="174" t="s">
        <v>580</v>
      </c>
      <c r="C2101" s="175" t="s">
        <v>73</v>
      </c>
      <c r="D2101" s="175" t="s">
        <v>75</v>
      </c>
      <c r="E2101" s="434">
        <v>0.03</v>
      </c>
      <c r="F2101" s="435">
        <v>36.08</v>
      </c>
      <c r="G2101" s="436">
        <f t="shared" si="18"/>
        <v>1.0823999999999998</v>
      </c>
    </row>
    <row r="2102" spans="1:7" ht="25.5">
      <c r="A2102" s="173" t="s">
        <v>607</v>
      </c>
      <c r="B2102" s="174" t="s">
        <v>608</v>
      </c>
      <c r="C2102" s="175" t="s">
        <v>73</v>
      </c>
      <c r="D2102" s="175" t="s">
        <v>75</v>
      </c>
      <c r="E2102" s="434">
        <v>1</v>
      </c>
      <c r="F2102" s="435">
        <v>16.69</v>
      </c>
      <c r="G2102" s="436">
        <f t="shared" si="18"/>
        <v>16.69</v>
      </c>
    </row>
    <row r="2103" spans="1:7" ht="12.75">
      <c r="A2103" s="173" t="s">
        <v>583</v>
      </c>
      <c r="B2103" s="174" t="s">
        <v>584</v>
      </c>
      <c r="C2103" s="175" t="s">
        <v>73</v>
      </c>
      <c r="D2103" s="175" t="s">
        <v>75</v>
      </c>
      <c r="E2103" s="434">
        <v>0.028</v>
      </c>
      <c r="F2103" s="435">
        <v>1.52</v>
      </c>
      <c r="G2103" s="436">
        <f t="shared" si="18"/>
        <v>0.04256</v>
      </c>
    </row>
    <row r="2104" spans="1:7" ht="38.25">
      <c r="A2104" s="173" t="s">
        <v>492</v>
      </c>
      <c r="B2104" s="174" t="s">
        <v>493</v>
      </c>
      <c r="C2104" s="175" t="s">
        <v>72</v>
      </c>
      <c r="D2104" s="175" t="s">
        <v>77</v>
      </c>
      <c r="E2104" s="434">
        <v>0.128</v>
      </c>
      <c r="F2104" s="435">
        <v>12.86</v>
      </c>
      <c r="G2104" s="436">
        <f t="shared" si="18"/>
        <v>1.64608</v>
      </c>
    </row>
    <row r="2105" spans="1:7" ht="25.5">
      <c r="A2105" s="173" t="s">
        <v>494</v>
      </c>
      <c r="B2105" s="174" t="s">
        <v>495</v>
      </c>
      <c r="C2105" s="175" t="s">
        <v>72</v>
      </c>
      <c r="D2105" s="175" t="s">
        <v>77</v>
      </c>
      <c r="E2105" s="434">
        <v>0.128</v>
      </c>
      <c r="F2105" s="435">
        <v>15.12</v>
      </c>
      <c r="G2105" s="436">
        <f t="shared" si="18"/>
        <v>1.93536</v>
      </c>
    </row>
    <row r="2106" spans="1:7" ht="12.75">
      <c r="A2106" s="783" t="s">
        <v>439</v>
      </c>
      <c r="B2106" s="784"/>
      <c r="C2106" s="784"/>
      <c r="D2106" s="784"/>
      <c r="E2106" s="784"/>
      <c r="F2106" s="784"/>
      <c r="G2106" s="440">
        <f>ROUNDUP(SUM(G2104:G2105),2)</f>
        <v>3.59</v>
      </c>
    </row>
    <row r="2107" spans="1:7" ht="12.75">
      <c r="A2107" s="783" t="s">
        <v>440</v>
      </c>
      <c r="B2107" s="784"/>
      <c r="C2107" s="784"/>
      <c r="D2107" s="784"/>
      <c r="E2107" s="784"/>
      <c r="F2107" s="784"/>
      <c r="G2107" s="440">
        <f>SUM(G2100:G2103)</f>
        <v>18.812160000000002</v>
      </c>
    </row>
    <row r="2108" spans="1:7" ht="12.75">
      <c r="A2108" s="783" t="s">
        <v>441</v>
      </c>
      <c r="B2108" s="784"/>
      <c r="C2108" s="784"/>
      <c r="D2108" s="784"/>
      <c r="E2108" s="784"/>
      <c r="F2108" s="784"/>
      <c r="G2108" s="440">
        <f>SUM(G2106:G2107)</f>
        <v>22.402160000000002</v>
      </c>
    </row>
    <row r="2109" spans="1:7" ht="12.75">
      <c r="A2109" s="783" t="s">
        <v>442</v>
      </c>
      <c r="B2109" s="784"/>
      <c r="C2109" s="784"/>
      <c r="D2109" s="784"/>
      <c r="E2109" s="784"/>
      <c r="F2109" s="784"/>
      <c r="G2109" s="440">
        <f>G2106*85.16%</f>
        <v>3.0572439999999994</v>
      </c>
    </row>
    <row r="2110" spans="1:7" ht="12.75">
      <c r="A2110" s="783" t="s">
        <v>443</v>
      </c>
      <c r="B2110" s="784"/>
      <c r="C2110" s="784"/>
      <c r="D2110" s="784"/>
      <c r="E2110" s="784"/>
      <c r="F2110" s="784"/>
      <c r="G2110" s="440">
        <f>G2109</f>
        <v>3.0572439999999994</v>
      </c>
    </row>
    <row r="2111" spans="1:7" ht="12.75">
      <c r="A2111" s="785" t="s">
        <v>444</v>
      </c>
      <c r="B2111" s="786"/>
      <c r="C2111" s="786"/>
      <c r="D2111" s="786"/>
      <c r="E2111" s="786"/>
      <c r="F2111" s="787"/>
      <c r="G2111" s="440">
        <f>G2107</f>
        <v>18.812160000000002</v>
      </c>
    </row>
    <row r="2112" spans="1:7" ht="12.75">
      <c r="A2112" s="785" t="s">
        <v>445</v>
      </c>
      <c r="B2112" s="786"/>
      <c r="C2112" s="786"/>
      <c r="D2112" s="786"/>
      <c r="E2112" s="786"/>
      <c r="F2112" s="787"/>
      <c r="G2112" s="440">
        <f>G2106+G2110</f>
        <v>6.647243999999999</v>
      </c>
    </row>
    <row r="2113" spans="1:7" ht="12.75">
      <c r="A2113" s="785" t="s">
        <v>446</v>
      </c>
      <c r="B2113" s="786"/>
      <c r="C2113" s="786"/>
      <c r="D2113" s="786"/>
      <c r="E2113" s="786"/>
      <c r="F2113" s="787"/>
      <c r="G2113" s="440">
        <f>SUM(G2111:G2112)</f>
        <v>25.459404</v>
      </c>
    </row>
    <row r="2114" spans="1:7" ht="12.75">
      <c r="A2114" s="796"/>
      <c r="B2114" s="797"/>
      <c r="C2114" s="797"/>
      <c r="D2114" s="797"/>
      <c r="E2114" s="797"/>
      <c r="F2114" s="797"/>
      <c r="G2114" s="798"/>
    </row>
    <row r="2115" spans="1:7" ht="12.75">
      <c r="A2115" s="804"/>
      <c r="B2115" s="805"/>
      <c r="C2115" s="805"/>
      <c r="D2115" s="805"/>
      <c r="E2115" s="805"/>
      <c r="F2115" s="805"/>
      <c r="G2115" s="806"/>
    </row>
    <row r="2116" spans="1:7" ht="12.75">
      <c r="A2116" s="594"/>
      <c r="B2116" s="595"/>
      <c r="C2116" s="595"/>
      <c r="D2116" s="595"/>
      <c r="E2116" s="595"/>
      <c r="F2116" s="595"/>
      <c r="G2116" s="596"/>
    </row>
    <row r="2117" spans="1:7" ht="12.75">
      <c r="A2117" s="597" t="s">
        <v>1531</v>
      </c>
      <c r="B2117" s="597" t="s">
        <v>1532</v>
      </c>
      <c r="C2117" s="595"/>
      <c r="D2117" s="595"/>
      <c r="E2117" s="595"/>
      <c r="F2117" s="595"/>
      <c r="G2117" s="596"/>
    </row>
    <row r="2118" spans="1:7" ht="12.75">
      <c r="A2118" s="597" t="s">
        <v>1710</v>
      </c>
      <c r="B2118" s="597"/>
      <c r="C2118" s="595"/>
      <c r="D2118" s="595"/>
      <c r="E2118" s="595"/>
      <c r="F2118" s="595"/>
      <c r="G2118" s="596"/>
    </row>
    <row r="2119" spans="1:7" ht="51">
      <c r="A2119" s="171" t="s">
        <v>585</v>
      </c>
      <c r="B2119" s="182" t="s">
        <v>586</v>
      </c>
      <c r="C2119" s="172" t="s">
        <v>72</v>
      </c>
      <c r="D2119" s="172" t="s">
        <v>75</v>
      </c>
      <c r="E2119" s="373"/>
      <c r="F2119" s="374"/>
      <c r="G2119" s="375"/>
    </row>
    <row r="2120" spans="1:7" ht="25.5">
      <c r="A2120" s="173" t="s">
        <v>577</v>
      </c>
      <c r="B2120" s="174" t="s">
        <v>578</v>
      </c>
      <c r="C2120" s="175" t="s">
        <v>73</v>
      </c>
      <c r="D2120" s="175" t="s">
        <v>75</v>
      </c>
      <c r="E2120" s="434">
        <v>0.007</v>
      </c>
      <c r="F2120" s="435">
        <v>41.55</v>
      </c>
      <c r="G2120" s="436">
        <f aca="true" t="shared" si="19" ref="G2120:G2125">E2120*F2120</f>
        <v>0.29085</v>
      </c>
    </row>
    <row r="2121" spans="1:7" ht="25.5">
      <c r="A2121" s="173" t="s">
        <v>579</v>
      </c>
      <c r="B2121" s="174" t="s">
        <v>580</v>
      </c>
      <c r="C2121" s="175" t="s">
        <v>73</v>
      </c>
      <c r="D2121" s="175" t="s">
        <v>75</v>
      </c>
      <c r="E2121" s="434">
        <v>0.008</v>
      </c>
      <c r="F2121" s="435">
        <v>36.08</v>
      </c>
      <c r="G2121" s="436">
        <f t="shared" si="19"/>
        <v>0.28864</v>
      </c>
    </row>
    <row r="2122" spans="1:7" ht="12.75">
      <c r="A2122" s="173" t="s">
        <v>583</v>
      </c>
      <c r="B2122" s="174" t="s">
        <v>584</v>
      </c>
      <c r="C2122" s="175" t="s">
        <v>73</v>
      </c>
      <c r="D2122" s="175" t="s">
        <v>75</v>
      </c>
      <c r="E2122" s="434">
        <v>0.05</v>
      </c>
      <c r="F2122" s="435">
        <v>1.52</v>
      </c>
      <c r="G2122" s="436">
        <f t="shared" si="19"/>
        <v>0.07600000000000001</v>
      </c>
    </row>
    <row r="2123" spans="1:7" ht="25.5">
      <c r="A2123" s="173" t="s">
        <v>587</v>
      </c>
      <c r="B2123" s="174" t="s">
        <v>588</v>
      </c>
      <c r="C2123" s="175" t="s">
        <v>73</v>
      </c>
      <c r="D2123" s="175" t="s">
        <v>75</v>
      </c>
      <c r="E2123" s="434">
        <v>1</v>
      </c>
      <c r="F2123" s="435">
        <v>0.58</v>
      </c>
      <c r="G2123" s="436">
        <f t="shared" si="19"/>
        <v>0.58</v>
      </c>
    </row>
    <row r="2124" spans="1:7" ht="38.25">
      <c r="A2124" s="173" t="s">
        <v>492</v>
      </c>
      <c r="B2124" s="174" t="s">
        <v>493</v>
      </c>
      <c r="C2124" s="175" t="s">
        <v>72</v>
      </c>
      <c r="D2124" s="175" t="s">
        <v>77</v>
      </c>
      <c r="E2124" s="434">
        <v>0.1</v>
      </c>
      <c r="F2124" s="435">
        <v>12.86</v>
      </c>
      <c r="G2124" s="436">
        <f t="shared" si="19"/>
        <v>1.286</v>
      </c>
    </row>
    <row r="2125" spans="1:7" ht="25.5">
      <c r="A2125" s="173" t="s">
        <v>494</v>
      </c>
      <c r="B2125" s="174" t="s">
        <v>495</v>
      </c>
      <c r="C2125" s="175" t="s">
        <v>72</v>
      </c>
      <c r="D2125" s="175" t="s">
        <v>77</v>
      </c>
      <c r="E2125" s="434">
        <v>0.1</v>
      </c>
      <c r="F2125" s="435">
        <v>15.12</v>
      </c>
      <c r="G2125" s="436">
        <f t="shared" si="19"/>
        <v>1.512</v>
      </c>
    </row>
    <row r="2126" spans="1:7" ht="12.75">
      <c r="A2126" s="783" t="s">
        <v>439</v>
      </c>
      <c r="B2126" s="784"/>
      <c r="C2126" s="784"/>
      <c r="D2126" s="784"/>
      <c r="E2126" s="784"/>
      <c r="F2126" s="784"/>
      <c r="G2126" s="440">
        <f>ROUNDUP(SUM(G2124:G2125),2)</f>
        <v>2.8</v>
      </c>
    </row>
    <row r="2127" spans="1:7" ht="12.75">
      <c r="A2127" s="783" t="s">
        <v>440</v>
      </c>
      <c r="B2127" s="784"/>
      <c r="C2127" s="784"/>
      <c r="D2127" s="784"/>
      <c r="E2127" s="784"/>
      <c r="F2127" s="784"/>
      <c r="G2127" s="440">
        <f>SUM(G2120:G2123)</f>
        <v>1.23549</v>
      </c>
    </row>
    <row r="2128" spans="1:7" ht="12.75">
      <c r="A2128" s="783" t="s">
        <v>441</v>
      </c>
      <c r="B2128" s="784"/>
      <c r="C2128" s="784"/>
      <c r="D2128" s="784"/>
      <c r="E2128" s="784"/>
      <c r="F2128" s="784"/>
      <c r="G2128" s="440">
        <f>SUM(G2126:G2127)</f>
        <v>4.035489999999999</v>
      </c>
    </row>
    <row r="2129" spans="1:7" ht="12.75">
      <c r="A2129" s="783" t="s">
        <v>442</v>
      </c>
      <c r="B2129" s="784"/>
      <c r="C2129" s="784"/>
      <c r="D2129" s="784"/>
      <c r="E2129" s="784"/>
      <c r="F2129" s="784"/>
      <c r="G2129" s="440">
        <f>G2126*85.16%</f>
        <v>2.3844799999999995</v>
      </c>
    </row>
    <row r="2130" spans="1:7" ht="12.75">
      <c r="A2130" s="783" t="s">
        <v>443</v>
      </c>
      <c r="B2130" s="784"/>
      <c r="C2130" s="784"/>
      <c r="D2130" s="784"/>
      <c r="E2130" s="784"/>
      <c r="F2130" s="784"/>
      <c r="G2130" s="440">
        <f>G2129</f>
        <v>2.3844799999999995</v>
      </c>
    </row>
    <row r="2131" spans="1:7" ht="12.75">
      <c r="A2131" s="785" t="s">
        <v>444</v>
      </c>
      <c r="B2131" s="786"/>
      <c r="C2131" s="786"/>
      <c r="D2131" s="786"/>
      <c r="E2131" s="786"/>
      <c r="F2131" s="787"/>
      <c r="G2131" s="440">
        <f>G2127</f>
        <v>1.23549</v>
      </c>
    </row>
    <row r="2132" spans="1:7" ht="12.75">
      <c r="A2132" s="785" t="s">
        <v>445</v>
      </c>
      <c r="B2132" s="786"/>
      <c r="C2132" s="786"/>
      <c r="D2132" s="786"/>
      <c r="E2132" s="786"/>
      <c r="F2132" s="787"/>
      <c r="G2132" s="440">
        <f>G2126+G2130</f>
        <v>5.184479999999999</v>
      </c>
    </row>
    <row r="2133" spans="1:7" ht="12.75">
      <c r="A2133" s="785" t="s">
        <v>446</v>
      </c>
      <c r="B2133" s="786"/>
      <c r="C2133" s="786"/>
      <c r="D2133" s="786"/>
      <c r="E2133" s="786"/>
      <c r="F2133" s="787"/>
      <c r="G2133" s="440">
        <f>SUM(G2131:G2132)</f>
        <v>6.419969999999999</v>
      </c>
    </row>
    <row r="2134" spans="1:7" ht="12.75">
      <c r="A2134" s="796"/>
      <c r="B2134" s="797"/>
      <c r="C2134" s="797"/>
      <c r="D2134" s="797"/>
      <c r="E2134" s="797"/>
      <c r="F2134" s="797"/>
      <c r="G2134" s="798"/>
    </row>
    <row r="2135" spans="1:7" ht="12.75">
      <c r="A2135" s="804"/>
      <c r="B2135" s="805"/>
      <c r="C2135" s="805"/>
      <c r="D2135" s="805"/>
      <c r="E2135" s="805"/>
      <c r="F2135" s="805"/>
      <c r="G2135" s="806"/>
    </row>
    <row r="2136" spans="1:7" ht="12.75">
      <c r="A2136" s="594"/>
      <c r="B2136" s="595"/>
      <c r="C2136" s="595"/>
      <c r="D2136" s="595"/>
      <c r="E2136" s="595"/>
      <c r="F2136" s="595"/>
      <c r="G2136" s="596"/>
    </row>
    <row r="2137" spans="1:7" ht="12.75">
      <c r="A2137" s="597" t="s">
        <v>1533</v>
      </c>
      <c r="B2137" s="597" t="s">
        <v>1534</v>
      </c>
      <c r="C2137" s="595"/>
      <c r="D2137" s="595"/>
      <c r="E2137" s="595"/>
      <c r="F2137" s="595"/>
      <c r="G2137" s="596"/>
    </row>
    <row r="2138" spans="1:7" ht="12.75">
      <c r="A2138" s="597" t="s">
        <v>1711</v>
      </c>
      <c r="B2138" s="597"/>
      <c r="C2138" s="595"/>
      <c r="D2138" s="595"/>
      <c r="E2138" s="595"/>
      <c r="F2138" s="595"/>
      <c r="G2138" s="596"/>
    </row>
    <row r="2139" spans="1:7" ht="51">
      <c r="A2139" s="171" t="s">
        <v>597</v>
      </c>
      <c r="B2139" s="182" t="s">
        <v>598</v>
      </c>
      <c r="C2139" s="172" t="s">
        <v>72</v>
      </c>
      <c r="D2139" s="172" t="s">
        <v>75</v>
      </c>
      <c r="E2139" s="434"/>
      <c r="F2139" s="435"/>
      <c r="G2139" s="375"/>
    </row>
    <row r="2140" spans="1:7" ht="25.5">
      <c r="A2140" s="173" t="s">
        <v>577</v>
      </c>
      <c r="B2140" s="174" t="s">
        <v>578</v>
      </c>
      <c r="C2140" s="175" t="s">
        <v>73</v>
      </c>
      <c r="D2140" s="175" t="s">
        <v>75</v>
      </c>
      <c r="E2140" s="434">
        <v>0.011</v>
      </c>
      <c r="F2140" s="435">
        <v>41.55</v>
      </c>
      <c r="G2140" s="436">
        <f aca="true" t="shared" si="20" ref="G2140:G2145">E2140*F2140</f>
        <v>0.45704999999999996</v>
      </c>
    </row>
    <row r="2141" spans="1:7" ht="25.5">
      <c r="A2141" s="173" t="s">
        <v>579</v>
      </c>
      <c r="B2141" s="174" t="s">
        <v>580</v>
      </c>
      <c r="C2141" s="175" t="s">
        <v>73</v>
      </c>
      <c r="D2141" s="175" t="s">
        <v>75</v>
      </c>
      <c r="E2141" s="434">
        <v>0.012</v>
      </c>
      <c r="F2141" s="435">
        <v>36.08</v>
      </c>
      <c r="G2141" s="436">
        <f t="shared" si="20"/>
        <v>0.43296</v>
      </c>
    </row>
    <row r="2142" spans="1:7" ht="12.75">
      <c r="A2142" s="173" t="s">
        <v>583</v>
      </c>
      <c r="B2142" s="174" t="s">
        <v>584</v>
      </c>
      <c r="C2142" s="175" t="s">
        <v>73</v>
      </c>
      <c r="D2142" s="175" t="s">
        <v>75</v>
      </c>
      <c r="E2142" s="434">
        <v>0.045</v>
      </c>
      <c r="F2142" s="435">
        <v>1.52</v>
      </c>
      <c r="G2142" s="436">
        <f t="shared" si="20"/>
        <v>0.0684</v>
      </c>
    </row>
    <row r="2143" spans="1:7" ht="25.5">
      <c r="A2143" s="173" t="s">
        <v>599</v>
      </c>
      <c r="B2143" s="174" t="s">
        <v>600</v>
      </c>
      <c r="C2143" s="175" t="s">
        <v>73</v>
      </c>
      <c r="D2143" s="175" t="s">
        <v>75</v>
      </c>
      <c r="E2143" s="434">
        <v>1</v>
      </c>
      <c r="F2143" s="435">
        <v>0.87</v>
      </c>
      <c r="G2143" s="436">
        <f t="shared" si="20"/>
        <v>0.87</v>
      </c>
    </row>
    <row r="2144" spans="1:7" ht="38.25">
      <c r="A2144" s="173" t="s">
        <v>492</v>
      </c>
      <c r="B2144" s="174" t="s">
        <v>493</v>
      </c>
      <c r="C2144" s="175" t="s">
        <v>72</v>
      </c>
      <c r="D2144" s="175" t="s">
        <v>77</v>
      </c>
      <c r="E2144" s="434">
        <v>0.12</v>
      </c>
      <c r="F2144" s="435">
        <v>12.86</v>
      </c>
      <c r="G2144" s="436">
        <f t="shared" si="20"/>
        <v>1.5432</v>
      </c>
    </row>
    <row r="2145" spans="1:7" ht="25.5">
      <c r="A2145" s="173" t="s">
        <v>494</v>
      </c>
      <c r="B2145" s="174" t="s">
        <v>495</v>
      </c>
      <c r="C2145" s="175" t="s">
        <v>72</v>
      </c>
      <c r="D2145" s="175" t="s">
        <v>77</v>
      </c>
      <c r="E2145" s="434">
        <v>0.12</v>
      </c>
      <c r="F2145" s="435">
        <v>15.12</v>
      </c>
      <c r="G2145" s="436">
        <f t="shared" si="20"/>
        <v>1.8143999999999998</v>
      </c>
    </row>
    <row r="2146" spans="1:7" ht="12.75">
      <c r="A2146" s="783" t="s">
        <v>439</v>
      </c>
      <c r="B2146" s="784"/>
      <c r="C2146" s="784"/>
      <c r="D2146" s="784"/>
      <c r="E2146" s="784"/>
      <c r="F2146" s="784"/>
      <c r="G2146" s="440">
        <f>ROUNDUP(SUM(G2144:G2145),2)</f>
        <v>3.36</v>
      </c>
    </row>
    <row r="2147" spans="1:7" ht="12.75">
      <c r="A2147" s="783" t="s">
        <v>440</v>
      </c>
      <c r="B2147" s="784"/>
      <c r="C2147" s="784"/>
      <c r="D2147" s="784"/>
      <c r="E2147" s="784"/>
      <c r="F2147" s="784"/>
      <c r="G2147" s="440">
        <f>SUM(G2140:G2143)</f>
        <v>1.8284099999999999</v>
      </c>
    </row>
    <row r="2148" spans="1:7" ht="12.75">
      <c r="A2148" s="783" t="s">
        <v>441</v>
      </c>
      <c r="B2148" s="784"/>
      <c r="C2148" s="784"/>
      <c r="D2148" s="784"/>
      <c r="E2148" s="784"/>
      <c r="F2148" s="784"/>
      <c r="G2148" s="440">
        <f>SUM(G2146:G2147)</f>
        <v>5.188409999999999</v>
      </c>
    </row>
    <row r="2149" spans="1:7" ht="12.75">
      <c r="A2149" s="783" t="s">
        <v>442</v>
      </c>
      <c r="B2149" s="784"/>
      <c r="C2149" s="784"/>
      <c r="D2149" s="784"/>
      <c r="E2149" s="784"/>
      <c r="F2149" s="784"/>
      <c r="G2149" s="440">
        <f>G2146*85.16%</f>
        <v>2.8613759999999995</v>
      </c>
    </row>
    <row r="2150" spans="1:7" ht="12.75">
      <c r="A2150" s="783" t="s">
        <v>443</v>
      </c>
      <c r="B2150" s="784"/>
      <c r="C2150" s="784"/>
      <c r="D2150" s="784"/>
      <c r="E2150" s="784"/>
      <c r="F2150" s="784"/>
      <c r="G2150" s="440">
        <f>G2149</f>
        <v>2.8613759999999995</v>
      </c>
    </row>
    <row r="2151" spans="1:7" ht="12.75">
      <c r="A2151" s="785" t="s">
        <v>444</v>
      </c>
      <c r="B2151" s="786"/>
      <c r="C2151" s="786"/>
      <c r="D2151" s="786"/>
      <c r="E2151" s="786"/>
      <c r="F2151" s="787"/>
      <c r="G2151" s="440">
        <f>G2147</f>
        <v>1.8284099999999999</v>
      </c>
    </row>
    <row r="2152" spans="1:7" ht="12.75">
      <c r="A2152" s="785" t="s">
        <v>445</v>
      </c>
      <c r="B2152" s="786"/>
      <c r="C2152" s="786"/>
      <c r="D2152" s="786"/>
      <c r="E2152" s="786"/>
      <c r="F2152" s="787"/>
      <c r="G2152" s="440">
        <f>G2146+G2150</f>
        <v>6.221375999999999</v>
      </c>
    </row>
    <row r="2153" spans="1:7" ht="12.75">
      <c r="A2153" s="785" t="s">
        <v>446</v>
      </c>
      <c r="B2153" s="786"/>
      <c r="C2153" s="786"/>
      <c r="D2153" s="786"/>
      <c r="E2153" s="786"/>
      <c r="F2153" s="787"/>
      <c r="G2153" s="440">
        <f>SUM(G2151:G2152)</f>
        <v>8.049786</v>
      </c>
    </row>
    <row r="2154" spans="1:7" ht="15.75" customHeight="1">
      <c r="A2154" s="796"/>
      <c r="B2154" s="797"/>
      <c r="C2154" s="797"/>
      <c r="D2154" s="797"/>
      <c r="E2154" s="797"/>
      <c r="F2154" s="797"/>
      <c r="G2154" s="798"/>
    </row>
    <row r="2155" spans="1:7" ht="12.75">
      <c r="A2155" s="714" t="s">
        <v>1712</v>
      </c>
      <c r="B2155" s="595"/>
      <c r="C2155" s="595"/>
      <c r="D2155" s="595"/>
      <c r="E2155" s="595"/>
      <c r="F2155" s="595"/>
      <c r="G2155" s="596"/>
    </row>
    <row r="2156" spans="1:7" ht="51">
      <c r="A2156" s="171" t="s">
        <v>617</v>
      </c>
      <c r="B2156" s="182" t="s">
        <v>618</v>
      </c>
      <c r="C2156" s="172" t="s">
        <v>72</v>
      </c>
      <c r="D2156" s="172" t="s">
        <v>75</v>
      </c>
      <c r="E2156" s="373"/>
      <c r="F2156" s="374"/>
      <c r="G2156" s="375"/>
    </row>
    <row r="2157" spans="1:7" ht="25.5">
      <c r="A2157" s="173" t="s">
        <v>577</v>
      </c>
      <c r="B2157" s="174" t="s">
        <v>578</v>
      </c>
      <c r="C2157" s="175" t="s">
        <v>73</v>
      </c>
      <c r="D2157" s="175" t="s">
        <v>75</v>
      </c>
      <c r="E2157" s="434">
        <v>0.026</v>
      </c>
      <c r="F2157" s="435">
        <v>41.55</v>
      </c>
      <c r="G2157" s="436">
        <f aca="true" t="shared" si="21" ref="G2157:G2162">E2157*F2157</f>
        <v>1.0802999999999998</v>
      </c>
    </row>
    <row r="2158" spans="1:7" ht="25.5">
      <c r="A2158" s="173" t="s">
        <v>579</v>
      </c>
      <c r="B2158" s="174" t="s">
        <v>580</v>
      </c>
      <c r="C2158" s="175" t="s">
        <v>73</v>
      </c>
      <c r="D2158" s="175" t="s">
        <v>75</v>
      </c>
      <c r="E2158" s="434">
        <v>0.033</v>
      </c>
      <c r="F2158" s="435">
        <v>36.08</v>
      </c>
      <c r="G2158" s="436">
        <f t="shared" si="21"/>
        <v>1.19064</v>
      </c>
    </row>
    <row r="2159" spans="1:7" ht="12.75">
      <c r="A2159" s="173" t="s">
        <v>583</v>
      </c>
      <c r="B2159" s="174" t="s">
        <v>584</v>
      </c>
      <c r="C2159" s="175" t="s">
        <v>73</v>
      </c>
      <c r="D2159" s="175" t="s">
        <v>75</v>
      </c>
      <c r="E2159" s="434">
        <v>0.036</v>
      </c>
      <c r="F2159" s="435">
        <v>1.52</v>
      </c>
      <c r="G2159" s="436">
        <f t="shared" si="21"/>
        <v>0.05472</v>
      </c>
    </row>
    <row r="2160" spans="1:7" ht="25.5">
      <c r="A2160" s="173" t="s">
        <v>619</v>
      </c>
      <c r="B2160" s="174" t="s">
        <v>620</v>
      </c>
      <c r="C2160" s="175" t="s">
        <v>73</v>
      </c>
      <c r="D2160" s="175" t="s">
        <v>75</v>
      </c>
      <c r="E2160" s="434">
        <v>1</v>
      </c>
      <c r="F2160" s="435">
        <v>6.31</v>
      </c>
      <c r="G2160" s="436">
        <f t="shared" si="21"/>
        <v>6.31</v>
      </c>
    </row>
    <row r="2161" spans="1:7" ht="38.25">
      <c r="A2161" s="173" t="s">
        <v>492</v>
      </c>
      <c r="B2161" s="174" t="s">
        <v>493</v>
      </c>
      <c r="C2161" s="175" t="s">
        <v>72</v>
      </c>
      <c r="D2161" s="175" t="s">
        <v>77</v>
      </c>
      <c r="E2161" s="434">
        <v>0.144</v>
      </c>
      <c r="F2161" s="435">
        <v>12.86</v>
      </c>
      <c r="G2161" s="436">
        <f t="shared" si="21"/>
        <v>1.8518399999999997</v>
      </c>
    </row>
    <row r="2162" spans="1:7" ht="25.5">
      <c r="A2162" s="173" t="s">
        <v>494</v>
      </c>
      <c r="B2162" s="174" t="s">
        <v>495</v>
      </c>
      <c r="C2162" s="175" t="s">
        <v>72</v>
      </c>
      <c r="D2162" s="175" t="s">
        <v>77</v>
      </c>
      <c r="E2162" s="434">
        <v>0.144</v>
      </c>
      <c r="F2162" s="435">
        <v>15.12</v>
      </c>
      <c r="G2162" s="436">
        <f t="shared" si="21"/>
        <v>2.1772799999999997</v>
      </c>
    </row>
    <row r="2163" spans="1:7" ht="12.75">
      <c r="A2163" s="783" t="s">
        <v>439</v>
      </c>
      <c r="B2163" s="784"/>
      <c r="C2163" s="784"/>
      <c r="D2163" s="784"/>
      <c r="E2163" s="784"/>
      <c r="F2163" s="784"/>
      <c r="G2163" s="440">
        <f>ROUNDUP(SUM(G2161:G2162),2)</f>
        <v>4.029999999999999</v>
      </c>
    </row>
    <row r="2164" spans="1:7" ht="12.75">
      <c r="A2164" s="783" t="s">
        <v>440</v>
      </c>
      <c r="B2164" s="784"/>
      <c r="C2164" s="784"/>
      <c r="D2164" s="784"/>
      <c r="E2164" s="784"/>
      <c r="F2164" s="784"/>
      <c r="G2164" s="440">
        <f>SUM(G2157:G2160)</f>
        <v>8.63566</v>
      </c>
    </row>
    <row r="2165" spans="1:7" ht="12.75">
      <c r="A2165" s="783" t="s">
        <v>441</v>
      </c>
      <c r="B2165" s="784"/>
      <c r="C2165" s="784"/>
      <c r="D2165" s="784"/>
      <c r="E2165" s="784"/>
      <c r="F2165" s="784"/>
      <c r="G2165" s="440">
        <f>SUM(G2163:G2164)</f>
        <v>12.665659999999999</v>
      </c>
    </row>
    <row r="2166" spans="1:7" ht="12.75">
      <c r="A2166" s="783" t="s">
        <v>442</v>
      </c>
      <c r="B2166" s="784"/>
      <c r="C2166" s="784"/>
      <c r="D2166" s="784"/>
      <c r="E2166" s="784"/>
      <c r="F2166" s="784"/>
      <c r="G2166" s="440">
        <f>G2163*85.16%</f>
        <v>3.431947999999999</v>
      </c>
    </row>
    <row r="2167" spans="1:7" ht="12.75">
      <c r="A2167" s="783" t="s">
        <v>443</v>
      </c>
      <c r="B2167" s="784"/>
      <c r="C2167" s="784"/>
      <c r="D2167" s="784"/>
      <c r="E2167" s="784"/>
      <c r="F2167" s="784"/>
      <c r="G2167" s="440">
        <f>G2166</f>
        <v>3.431947999999999</v>
      </c>
    </row>
    <row r="2168" spans="1:7" ht="12.75">
      <c r="A2168" s="785" t="s">
        <v>444</v>
      </c>
      <c r="B2168" s="786"/>
      <c r="C2168" s="786"/>
      <c r="D2168" s="786"/>
      <c r="E2168" s="786"/>
      <c r="F2168" s="787"/>
      <c r="G2168" s="440">
        <f>G2164</f>
        <v>8.63566</v>
      </c>
    </row>
    <row r="2169" spans="1:7" ht="12.75">
      <c r="A2169" s="785" t="s">
        <v>445</v>
      </c>
      <c r="B2169" s="786"/>
      <c r="C2169" s="786"/>
      <c r="D2169" s="786"/>
      <c r="E2169" s="786"/>
      <c r="F2169" s="787"/>
      <c r="G2169" s="440">
        <f>G2163+G2167</f>
        <v>7.461947999999998</v>
      </c>
    </row>
    <row r="2170" spans="1:7" ht="12.75">
      <c r="A2170" s="785" t="s">
        <v>446</v>
      </c>
      <c r="B2170" s="786"/>
      <c r="C2170" s="786"/>
      <c r="D2170" s="786"/>
      <c r="E2170" s="786"/>
      <c r="F2170" s="787"/>
      <c r="G2170" s="440">
        <f>SUM(G2168:G2169)</f>
        <v>16.097607999999997</v>
      </c>
    </row>
    <row r="2171" spans="1:7" ht="12.75">
      <c r="A2171" s="796"/>
      <c r="B2171" s="797"/>
      <c r="C2171" s="797"/>
      <c r="D2171" s="797"/>
      <c r="E2171" s="797"/>
      <c r="F2171" s="797"/>
      <c r="G2171" s="798"/>
    </row>
    <row r="2172" spans="1:7" ht="12.75">
      <c r="A2172" s="804"/>
      <c r="B2172" s="805"/>
      <c r="C2172" s="805"/>
      <c r="D2172" s="805"/>
      <c r="E2172" s="805"/>
      <c r="F2172" s="805"/>
      <c r="G2172" s="806"/>
    </row>
    <row r="2173" spans="1:7" ht="12.75">
      <c r="A2173" s="714" t="s">
        <v>1713</v>
      </c>
      <c r="B2173" s="595"/>
      <c r="C2173" s="595"/>
      <c r="D2173" s="595"/>
      <c r="E2173" s="595"/>
      <c r="F2173" s="595"/>
      <c r="G2173" s="596"/>
    </row>
    <row r="2174" spans="1:7" ht="51">
      <c r="A2174" s="171" t="s">
        <v>625</v>
      </c>
      <c r="B2174" s="182" t="s">
        <v>626</v>
      </c>
      <c r="C2174" s="172" t="s">
        <v>72</v>
      </c>
      <c r="D2174" s="172" t="s">
        <v>75</v>
      </c>
      <c r="E2174" s="373"/>
      <c r="F2174" s="374"/>
      <c r="G2174" s="375"/>
    </row>
    <row r="2175" spans="1:7" ht="25.5">
      <c r="A2175" s="173" t="s">
        <v>577</v>
      </c>
      <c r="B2175" s="174" t="s">
        <v>578</v>
      </c>
      <c r="C2175" s="175" t="s">
        <v>73</v>
      </c>
      <c r="D2175" s="175" t="s">
        <v>75</v>
      </c>
      <c r="E2175" s="434">
        <v>0.035</v>
      </c>
      <c r="F2175" s="435">
        <v>41.55</v>
      </c>
      <c r="G2175" s="436">
        <f aca="true" t="shared" si="22" ref="G2175:G2180">E2175*F2175</f>
        <v>1.45425</v>
      </c>
    </row>
    <row r="2176" spans="1:7" ht="25.5">
      <c r="A2176" s="173" t="s">
        <v>579</v>
      </c>
      <c r="B2176" s="174" t="s">
        <v>580</v>
      </c>
      <c r="C2176" s="175" t="s">
        <v>73</v>
      </c>
      <c r="D2176" s="175" t="s">
        <v>75</v>
      </c>
      <c r="E2176" s="434">
        <v>0.045</v>
      </c>
      <c r="F2176" s="435">
        <v>36.08</v>
      </c>
      <c r="G2176" s="436">
        <f t="shared" si="22"/>
        <v>1.6236</v>
      </c>
    </row>
    <row r="2177" spans="1:7" ht="12.75">
      <c r="A2177" s="173" t="s">
        <v>583</v>
      </c>
      <c r="B2177" s="174" t="s">
        <v>584</v>
      </c>
      <c r="C2177" s="175" t="s">
        <v>73</v>
      </c>
      <c r="D2177" s="175" t="s">
        <v>75</v>
      </c>
      <c r="E2177" s="434">
        <v>0.043</v>
      </c>
      <c r="F2177" s="435">
        <v>1.52</v>
      </c>
      <c r="G2177" s="436">
        <f t="shared" si="22"/>
        <v>0.06536</v>
      </c>
    </row>
    <row r="2178" spans="1:7" ht="25.5">
      <c r="A2178" s="173" t="s">
        <v>627</v>
      </c>
      <c r="B2178" s="174" t="s">
        <v>628</v>
      </c>
      <c r="C2178" s="175" t="s">
        <v>73</v>
      </c>
      <c r="D2178" s="175" t="s">
        <v>75</v>
      </c>
      <c r="E2178" s="434">
        <v>1</v>
      </c>
      <c r="F2178" s="435">
        <v>18.08</v>
      </c>
      <c r="G2178" s="436">
        <f t="shared" si="22"/>
        <v>18.08</v>
      </c>
    </row>
    <row r="2179" spans="1:7" ht="38.25">
      <c r="A2179" s="173" t="s">
        <v>492</v>
      </c>
      <c r="B2179" s="174" t="s">
        <v>493</v>
      </c>
      <c r="C2179" s="175" t="s">
        <v>72</v>
      </c>
      <c r="D2179" s="175" t="s">
        <v>77</v>
      </c>
      <c r="E2179" s="434">
        <v>0.17</v>
      </c>
      <c r="F2179" s="435">
        <v>12.86</v>
      </c>
      <c r="G2179" s="436">
        <f t="shared" si="22"/>
        <v>2.1862</v>
      </c>
    </row>
    <row r="2180" spans="1:7" ht="25.5">
      <c r="A2180" s="173" t="s">
        <v>494</v>
      </c>
      <c r="B2180" s="174" t="s">
        <v>495</v>
      </c>
      <c r="C2180" s="175" t="s">
        <v>72</v>
      </c>
      <c r="D2180" s="175" t="s">
        <v>77</v>
      </c>
      <c r="E2180" s="434">
        <v>0.17</v>
      </c>
      <c r="F2180" s="435">
        <v>15.12</v>
      </c>
      <c r="G2180" s="436">
        <f t="shared" si="22"/>
        <v>2.5704000000000002</v>
      </c>
    </row>
    <row r="2181" spans="1:7" ht="12.75">
      <c r="A2181" s="783" t="s">
        <v>439</v>
      </c>
      <c r="B2181" s="784"/>
      <c r="C2181" s="784"/>
      <c r="D2181" s="784"/>
      <c r="E2181" s="784"/>
      <c r="F2181" s="784"/>
      <c r="G2181" s="440">
        <f>ROUNDUP(SUM(G2179:G2180),2)</f>
        <v>4.76</v>
      </c>
    </row>
    <row r="2182" spans="1:7" ht="12.75">
      <c r="A2182" s="783" t="s">
        <v>440</v>
      </c>
      <c r="B2182" s="784"/>
      <c r="C2182" s="784"/>
      <c r="D2182" s="784"/>
      <c r="E2182" s="784"/>
      <c r="F2182" s="784"/>
      <c r="G2182" s="440">
        <f>SUM(G2175:G2178)</f>
        <v>21.223209999999998</v>
      </c>
    </row>
    <row r="2183" spans="1:7" ht="12.75">
      <c r="A2183" s="783" t="s">
        <v>441</v>
      </c>
      <c r="B2183" s="784"/>
      <c r="C2183" s="784"/>
      <c r="D2183" s="784"/>
      <c r="E2183" s="784"/>
      <c r="F2183" s="784"/>
      <c r="G2183" s="440">
        <f>SUM(G2181:G2182)</f>
        <v>25.98321</v>
      </c>
    </row>
    <row r="2184" spans="1:7" ht="12.75">
      <c r="A2184" s="783" t="s">
        <v>442</v>
      </c>
      <c r="B2184" s="784"/>
      <c r="C2184" s="784"/>
      <c r="D2184" s="784"/>
      <c r="E2184" s="784"/>
      <c r="F2184" s="784"/>
      <c r="G2184" s="440">
        <f>G2181*85.16%</f>
        <v>4.053615999999999</v>
      </c>
    </row>
    <row r="2185" spans="1:7" ht="12.75">
      <c r="A2185" s="783" t="s">
        <v>443</v>
      </c>
      <c r="B2185" s="784"/>
      <c r="C2185" s="784"/>
      <c r="D2185" s="784"/>
      <c r="E2185" s="784"/>
      <c r="F2185" s="784"/>
      <c r="G2185" s="440">
        <f>G2184</f>
        <v>4.053615999999999</v>
      </c>
    </row>
    <row r="2186" spans="1:7" ht="12.75">
      <c r="A2186" s="785" t="s">
        <v>444</v>
      </c>
      <c r="B2186" s="786"/>
      <c r="C2186" s="786"/>
      <c r="D2186" s="786"/>
      <c r="E2186" s="786"/>
      <c r="F2186" s="787"/>
      <c r="G2186" s="440">
        <f>G2182</f>
        <v>21.223209999999998</v>
      </c>
    </row>
    <row r="2187" spans="1:7" ht="12.75">
      <c r="A2187" s="785" t="s">
        <v>445</v>
      </c>
      <c r="B2187" s="786"/>
      <c r="C2187" s="786"/>
      <c r="D2187" s="786"/>
      <c r="E2187" s="786"/>
      <c r="F2187" s="787"/>
      <c r="G2187" s="440">
        <f>G2181+G2185</f>
        <v>8.813616</v>
      </c>
    </row>
    <row r="2188" spans="1:7" ht="12.75">
      <c r="A2188" s="785" t="s">
        <v>446</v>
      </c>
      <c r="B2188" s="786"/>
      <c r="C2188" s="786"/>
      <c r="D2188" s="786"/>
      <c r="E2188" s="786"/>
      <c r="F2188" s="787"/>
      <c r="G2188" s="440">
        <f>SUM(G2186:G2187)</f>
        <v>30.036825999999998</v>
      </c>
    </row>
    <row r="2189" spans="1:7" ht="12.75">
      <c r="A2189" s="796"/>
      <c r="B2189" s="797"/>
      <c r="C2189" s="797"/>
      <c r="D2189" s="797"/>
      <c r="E2189" s="797"/>
      <c r="F2189" s="797"/>
      <c r="G2189" s="798"/>
    </row>
    <row r="2190" spans="1:7" ht="12.75">
      <c r="A2190" s="804"/>
      <c r="B2190" s="805"/>
      <c r="C2190" s="805"/>
      <c r="D2190" s="805"/>
      <c r="E2190" s="805"/>
      <c r="F2190" s="805"/>
      <c r="G2190" s="806"/>
    </row>
    <row r="2191" spans="1:7" ht="12.75">
      <c r="A2191" s="714" t="s">
        <v>1714</v>
      </c>
      <c r="B2191" s="595"/>
      <c r="C2191" s="595"/>
      <c r="D2191" s="595"/>
      <c r="E2191" s="595"/>
      <c r="F2191" s="595"/>
      <c r="G2191" s="596"/>
    </row>
    <row r="2192" spans="1:7" ht="51">
      <c r="A2192" s="171" t="s">
        <v>621</v>
      </c>
      <c r="B2192" s="182" t="s">
        <v>622</v>
      </c>
      <c r="C2192" s="172" t="s">
        <v>72</v>
      </c>
      <c r="D2192" s="172" t="s">
        <v>75</v>
      </c>
      <c r="E2192" s="373"/>
      <c r="F2192" s="374"/>
      <c r="G2192" s="375"/>
    </row>
    <row r="2193" spans="1:7" ht="25.5">
      <c r="A2193" s="173" t="s">
        <v>577</v>
      </c>
      <c r="B2193" s="174" t="s">
        <v>578</v>
      </c>
      <c r="C2193" s="175" t="s">
        <v>73</v>
      </c>
      <c r="D2193" s="175" t="s">
        <v>75</v>
      </c>
      <c r="E2193" s="434">
        <v>0.026</v>
      </c>
      <c r="F2193" s="435">
        <v>41.55</v>
      </c>
      <c r="G2193" s="436">
        <f aca="true" t="shared" si="23" ref="G2193:G2198">E2193*F2193</f>
        <v>1.0802999999999998</v>
      </c>
    </row>
    <row r="2194" spans="1:7" ht="25.5">
      <c r="A2194" s="173" t="s">
        <v>579</v>
      </c>
      <c r="B2194" s="174" t="s">
        <v>580</v>
      </c>
      <c r="C2194" s="175" t="s">
        <v>73</v>
      </c>
      <c r="D2194" s="175" t="s">
        <v>75</v>
      </c>
      <c r="E2194" s="434">
        <v>0.033</v>
      </c>
      <c r="F2194" s="435">
        <v>36.08</v>
      </c>
      <c r="G2194" s="436">
        <f t="shared" si="23"/>
        <v>1.19064</v>
      </c>
    </row>
    <row r="2195" spans="1:7" ht="12.75">
      <c r="A2195" s="173" t="s">
        <v>583</v>
      </c>
      <c r="B2195" s="174" t="s">
        <v>584</v>
      </c>
      <c r="C2195" s="175" t="s">
        <v>73</v>
      </c>
      <c r="D2195" s="175" t="s">
        <v>75</v>
      </c>
      <c r="E2195" s="434">
        <v>0.036</v>
      </c>
      <c r="F2195" s="435">
        <v>1.52</v>
      </c>
      <c r="G2195" s="436">
        <f t="shared" si="23"/>
        <v>0.05472</v>
      </c>
    </row>
    <row r="2196" spans="1:7" ht="38.25">
      <c r="A2196" s="173" t="s">
        <v>623</v>
      </c>
      <c r="B2196" s="174" t="s">
        <v>624</v>
      </c>
      <c r="C2196" s="175" t="s">
        <v>73</v>
      </c>
      <c r="D2196" s="175" t="s">
        <v>75</v>
      </c>
      <c r="E2196" s="434">
        <v>1</v>
      </c>
      <c r="F2196" s="435">
        <v>6.09</v>
      </c>
      <c r="G2196" s="436">
        <f t="shared" si="23"/>
        <v>6.09</v>
      </c>
    </row>
    <row r="2197" spans="1:7" ht="38.25">
      <c r="A2197" s="173" t="s">
        <v>492</v>
      </c>
      <c r="B2197" s="174" t="s">
        <v>493</v>
      </c>
      <c r="C2197" s="175" t="s">
        <v>72</v>
      </c>
      <c r="D2197" s="175" t="s">
        <v>77</v>
      </c>
      <c r="E2197" s="434">
        <v>0.144</v>
      </c>
      <c r="F2197" s="435">
        <v>12.86</v>
      </c>
      <c r="G2197" s="436">
        <f t="shared" si="23"/>
        <v>1.8518399999999997</v>
      </c>
    </row>
    <row r="2198" spans="1:7" ht="25.5">
      <c r="A2198" s="173" t="s">
        <v>494</v>
      </c>
      <c r="B2198" s="174" t="s">
        <v>495</v>
      </c>
      <c r="C2198" s="175" t="s">
        <v>72</v>
      </c>
      <c r="D2198" s="175" t="s">
        <v>77</v>
      </c>
      <c r="E2198" s="434">
        <v>0.144</v>
      </c>
      <c r="F2198" s="435">
        <v>15.12</v>
      </c>
      <c r="G2198" s="436">
        <f t="shared" si="23"/>
        <v>2.1772799999999997</v>
      </c>
    </row>
    <row r="2199" spans="1:7" ht="12.75">
      <c r="A2199" s="783" t="s">
        <v>439</v>
      </c>
      <c r="B2199" s="784"/>
      <c r="C2199" s="784"/>
      <c r="D2199" s="784"/>
      <c r="E2199" s="784"/>
      <c r="F2199" s="784"/>
      <c r="G2199" s="440">
        <f>ROUNDUP(SUM(G2197:G2198),2)</f>
        <v>4.029999999999999</v>
      </c>
    </row>
    <row r="2200" spans="1:7" ht="12.75">
      <c r="A2200" s="783" t="s">
        <v>440</v>
      </c>
      <c r="B2200" s="784"/>
      <c r="C2200" s="784"/>
      <c r="D2200" s="784"/>
      <c r="E2200" s="784"/>
      <c r="F2200" s="784"/>
      <c r="G2200" s="440">
        <f>SUM(G2193:G2196)</f>
        <v>8.415659999999999</v>
      </c>
    </row>
    <row r="2201" spans="1:7" ht="12.75">
      <c r="A2201" s="783" t="s">
        <v>441</v>
      </c>
      <c r="B2201" s="784"/>
      <c r="C2201" s="784"/>
      <c r="D2201" s="784"/>
      <c r="E2201" s="784"/>
      <c r="F2201" s="784"/>
      <c r="G2201" s="440">
        <f>SUM(G2199:G2200)</f>
        <v>12.445659999999998</v>
      </c>
    </row>
    <row r="2202" spans="1:7" ht="12.75">
      <c r="A2202" s="783" t="s">
        <v>442</v>
      </c>
      <c r="B2202" s="784"/>
      <c r="C2202" s="784"/>
      <c r="D2202" s="784"/>
      <c r="E2202" s="784"/>
      <c r="F2202" s="784"/>
      <c r="G2202" s="440">
        <f>G2199*85.16%</f>
        <v>3.431947999999999</v>
      </c>
    </row>
    <row r="2203" spans="1:7" ht="12.75">
      <c r="A2203" s="783" t="s">
        <v>443</v>
      </c>
      <c r="B2203" s="784"/>
      <c r="C2203" s="784"/>
      <c r="D2203" s="784"/>
      <c r="E2203" s="784"/>
      <c r="F2203" s="784"/>
      <c r="G2203" s="440">
        <f>G2202</f>
        <v>3.431947999999999</v>
      </c>
    </row>
    <row r="2204" spans="1:7" ht="12.75">
      <c r="A2204" s="785" t="s">
        <v>444</v>
      </c>
      <c r="B2204" s="786"/>
      <c r="C2204" s="786"/>
      <c r="D2204" s="786"/>
      <c r="E2204" s="786"/>
      <c r="F2204" s="787"/>
      <c r="G2204" s="440">
        <f>G2200</f>
        <v>8.415659999999999</v>
      </c>
    </row>
    <row r="2205" spans="1:7" ht="12.75">
      <c r="A2205" s="785" t="s">
        <v>445</v>
      </c>
      <c r="B2205" s="786"/>
      <c r="C2205" s="786"/>
      <c r="D2205" s="786"/>
      <c r="E2205" s="786"/>
      <c r="F2205" s="787"/>
      <c r="G2205" s="440">
        <f>G2199+G2203</f>
        <v>7.461947999999998</v>
      </c>
    </row>
    <row r="2206" spans="1:7" ht="12.75">
      <c r="A2206" s="785" t="s">
        <v>446</v>
      </c>
      <c r="B2206" s="786"/>
      <c r="C2206" s="786"/>
      <c r="D2206" s="786"/>
      <c r="E2206" s="786"/>
      <c r="F2206" s="787"/>
      <c r="G2206" s="440">
        <f>SUM(G2204:G2205)</f>
        <v>15.877607999999997</v>
      </c>
    </row>
    <row r="2207" spans="1:7" ht="12.75">
      <c r="A2207" s="796"/>
      <c r="B2207" s="797"/>
      <c r="C2207" s="797"/>
      <c r="D2207" s="797"/>
      <c r="E2207" s="797"/>
      <c r="F2207" s="797"/>
      <c r="G2207" s="798"/>
    </row>
    <row r="2208" spans="1:7" ht="12.75">
      <c r="A2208" s="388"/>
      <c r="B2208" s="370"/>
      <c r="C2208" s="370"/>
      <c r="D2208" s="370"/>
      <c r="E2208" s="459"/>
      <c r="F2208" s="459"/>
      <c r="G2208" s="460"/>
    </row>
    <row r="2209" spans="1:7" ht="12.75">
      <c r="A2209" s="597" t="s">
        <v>1525</v>
      </c>
      <c r="B2209" s="597" t="s">
        <v>1526</v>
      </c>
      <c r="C2209" s="595"/>
      <c r="D2209" s="595"/>
      <c r="E2209" s="589"/>
      <c r="F2209" s="589"/>
      <c r="G2209" s="590"/>
    </row>
    <row r="2210" spans="1:7" ht="25.5">
      <c r="A2210" s="597" t="s">
        <v>1519</v>
      </c>
      <c r="B2210" s="597" t="s">
        <v>1520</v>
      </c>
      <c r="C2210" s="595"/>
      <c r="D2210" s="595"/>
      <c r="E2210" s="589"/>
      <c r="F2210" s="589"/>
      <c r="G2210" s="590"/>
    </row>
    <row r="2211" spans="1:7" ht="12.75">
      <c r="A2211" s="597" t="s">
        <v>1527</v>
      </c>
      <c r="B2211" s="597" t="s">
        <v>1528</v>
      </c>
      <c r="C2211" s="595"/>
      <c r="D2211" s="595"/>
      <c r="E2211" s="589"/>
      <c r="F2211" s="589"/>
      <c r="G2211" s="590"/>
    </row>
    <row r="2212" spans="1:7" ht="12.75">
      <c r="A2212" s="597" t="s">
        <v>1701</v>
      </c>
      <c r="B2212" s="597"/>
      <c r="C2212" s="595"/>
      <c r="D2212" s="595"/>
      <c r="E2212" s="589"/>
      <c r="F2212" s="589"/>
      <c r="G2212" s="590"/>
    </row>
    <row r="2213" spans="1:7" ht="28.5" customHeight="1">
      <c r="A2213" s="401" t="s">
        <v>1254</v>
      </c>
      <c r="B2213" s="299" t="s">
        <v>1236</v>
      </c>
      <c r="C2213" s="172" t="s">
        <v>72</v>
      </c>
      <c r="D2213" s="172" t="s">
        <v>75</v>
      </c>
      <c r="E2213" s="373"/>
      <c r="F2213" s="374"/>
      <c r="G2213" s="375"/>
    </row>
    <row r="2214" spans="1:7" ht="25.5">
      <c r="A2214" s="437" t="s">
        <v>492</v>
      </c>
      <c r="B2214" s="438" t="s">
        <v>1259</v>
      </c>
      <c r="C2214" s="175" t="s">
        <v>76</v>
      </c>
      <c r="D2214" s="175" t="s">
        <v>77</v>
      </c>
      <c r="E2214" s="434">
        <v>0.185</v>
      </c>
      <c r="F2214" s="435">
        <v>12.86</v>
      </c>
      <c r="G2214" s="436">
        <f>E2214*F2214</f>
        <v>2.3790999999999998</v>
      </c>
    </row>
    <row r="2215" spans="1:7" ht="25.5">
      <c r="A2215" s="437" t="s">
        <v>494</v>
      </c>
      <c r="B2215" s="438" t="s">
        <v>495</v>
      </c>
      <c r="C2215" s="175" t="s">
        <v>76</v>
      </c>
      <c r="D2215" s="175" t="s">
        <v>77</v>
      </c>
      <c r="E2215" s="434">
        <v>0.185</v>
      </c>
      <c r="F2215" s="435">
        <v>15.12</v>
      </c>
      <c r="G2215" s="436">
        <f>E2215*F2215</f>
        <v>2.7971999999999997</v>
      </c>
    </row>
    <row r="2216" spans="1:7" ht="25.5">
      <c r="A2216" s="437" t="s">
        <v>579</v>
      </c>
      <c r="B2216" s="438" t="s">
        <v>580</v>
      </c>
      <c r="C2216" s="175" t="s">
        <v>73</v>
      </c>
      <c r="D2216" s="175" t="s">
        <v>85</v>
      </c>
      <c r="E2216" s="434">
        <v>0.041</v>
      </c>
      <c r="F2216" s="435">
        <v>36.08</v>
      </c>
      <c r="G2216" s="436">
        <f>E2216*F2216</f>
        <v>1.47928</v>
      </c>
    </row>
    <row r="2217" spans="1:7" ht="38.25">
      <c r="A2217" s="437" t="s">
        <v>1262</v>
      </c>
      <c r="B2217" s="438" t="s">
        <v>1261</v>
      </c>
      <c r="C2217" s="439" t="s">
        <v>73</v>
      </c>
      <c r="D2217" s="439" t="s">
        <v>75</v>
      </c>
      <c r="E2217" s="434">
        <v>1.015</v>
      </c>
      <c r="F2217" s="435">
        <v>13.03</v>
      </c>
      <c r="G2217" s="436">
        <f>E2217*F2217</f>
        <v>13.225449999999999</v>
      </c>
    </row>
    <row r="2218" spans="1:7" ht="25.5">
      <c r="A2218" s="437" t="s">
        <v>577</v>
      </c>
      <c r="B2218" s="438" t="s">
        <v>578</v>
      </c>
      <c r="C2218" s="175" t="s">
        <v>73</v>
      </c>
      <c r="D2218" s="175" t="s">
        <v>424</v>
      </c>
      <c r="E2218" s="434">
        <v>0.0238</v>
      </c>
      <c r="F2218" s="435">
        <v>41.55</v>
      </c>
      <c r="G2218" s="436">
        <f>E2218*F2218</f>
        <v>0.98889</v>
      </c>
    </row>
    <row r="2219" spans="1:7" ht="12.75">
      <c r="A2219" s="783" t="s">
        <v>439</v>
      </c>
      <c r="B2219" s="784"/>
      <c r="C2219" s="784"/>
      <c r="D2219" s="784"/>
      <c r="E2219" s="784"/>
      <c r="F2219" s="784"/>
      <c r="G2219" s="440">
        <f>ROUNDUP(SUM(G2214:G2215),2)</f>
        <v>5.18</v>
      </c>
    </row>
    <row r="2220" spans="1:7" ht="12.75">
      <c r="A2220" s="783" t="s">
        <v>440</v>
      </c>
      <c r="B2220" s="784"/>
      <c r="C2220" s="784"/>
      <c r="D2220" s="784"/>
      <c r="E2220" s="784"/>
      <c r="F2220" s="784"/>
      <c r="G2220" s="440">
        <f>SUM(G2216:G2218)</f>
        <v>15.693619999999997</v>
      </c>
    </row>
    <row r="2221" spans="1:7" ht="12.75">
      <c r="A2221" s="783" t="s">
        <v>441</v>
      </c>
      <c r="B2221" s="784"/>
      <c r="C2221" s="784"/>
      <c r="D2221" s="784"/>
      <c r="E2221" s="784"/>
      <c r="F2221" s="784"/>
      <c r="G2221" s="440">
        <f>SUM(G2219:G2220)</f>
        <v>20.873619999999995</v>
      </c>
    </row>
    <row r="2222" spans="1:7" ht="12.75">
      <c r="A2222" s="783" t="s">
        <v>442</v>
      </c>
      <c r="B2222" s="784"/>
      <c r="C2222" s="784"/>
      <c r="D2222" s="784"/>
      <c r="E2222" s="784"/>
      <c r="F2222" s="784"/>
      <c r="G2222" s="440">
        <f>G2219*85.16%</f>
        <v>4.411287999999999</v>
      </c>
    </row>
    <row r="2223" spans="1:7" ht="12.75">
      <c r="A2223" s="783" t="s">
        <v>443</v>
      </c>
      <c r="B2223" s="784"/>
      <c r="C2223" s="784"/>
      <c r="D2223" s="784"/>
      <c r="E2223" s="784"/>
      <c r="F2223" s="784"/>
      <c r="G2223" s="440">
        <f>G2222</f>
        <v>4.411287999999999</v>
      </c>
    </row>
    <row r="2224" spans="1:7" ht="12.75">
      <c r="A2224" s="785" t="s">
        <v>444</v>
      </c>
      <c r="B2224" s="786"/>
      <c r="C2224" s="786"/>
      <c r="D2224" s="786"/>
      <c r="E2224" s="786"/>
      <c r="F2224" s="787"/>
      <c r="G2224" s="440">
        <f>G2220</f>
        <v>15.693619999999997</v>
      </c>
    </row>
    <row r="2225" spans="1:7" ht="12.75">
      <c r="A2225" s="785" t="s">
        <v>445</v>
      </c>
      <c r="B2225" s="786"/>
      <c r="C2225" s="786"/>
      <c r="D2225" s="786"/>
      <c r="E2225" s="786"/>
      <c r="F2225" s="787"/>
      <c r="G2225" s="440">
        <f>G2219+G2223</f>
        <v>9.591287999999999</v>
      </c>
    </row>
    <row r="2226" spans="1:7" ht="12.75">
      <c r="A2226" s="785" t="s">
        <v>446</v>
      </c>
      <c r="B2226" s="786"/>
      <c r="C2226" s="786"/>
      <c r="D2226" s="786"/>
      <c r="E2226" s="786"/>
      <c r="F2226" s="787"/>
      <c r="G2226" s="440">
        <f>SUM(G2224:G2225)</f>
        <v>25.284907999999994</v>
      </c>
    </row>
    <row r="2227" spans="1:7" ht="12.75">
      <c r="A2227" s="491" t="s">
        <v>83</v>
      </c>
      <c r="B2227" s="799" t="s">
        <v>1281</v>
      </c>
      <c r="C2227" s="799"/>
      <c r="D2227" s="799"/>
      <c r="E2227" s="799"/>
      <c r="F2227" s="799"/>
      <c r="G2227" s="800"/>
    </row>
    <row r="2228" spans="1:7" ht="12.75">
      <c r="A2228" s="297"/>
      <c r="B2228" s="298"/>
      <c r="C2228" s="298"/>
      <c r="D2228" s="298"/>
      <c r="E2228" s="457"/>
      <c r="F2228" s="457"/>
      <c r="G2228" s="458"/>
    </row>
    <row r="2229" spans="1:7" ht="12.75">
      <c r="A2229" s="714" t="s">
        <v>1702</v>
      </c>
      <c r="B2229" s="592"/>
      <c r="C2229" s="592"/>
      <c r="D2229" s="592"/>
      <c r="E2229" s="457"/>
      <c r="F2229" s="457"/>
      <c r="G2229" s="458"/>
    </row>
    <row r="2230" spans="1:7" ht="25.5">
      <c r="A2230" s="401" t="s">
        <v>1253</v>
      </c>
      <c r="B2230" s="299" t="s">
        <v>1235</v>
      </c>
      <c r="C2230" s="172" t="s">
        <v>72</v>
      </c>
      <c r="D2230" s="172" t="s">
        <v>75</v>
      </c>
      <c r="E2230" s="373"/>
      <c r="F2230" s="374"/>
      <c r="G2230" s="375"/>
    </row>
    <row r="2231" spans="1:7" ht="25.5">
      <c r="A2231" s="437" t="s">
        <v>492</v>
      </c>
      <c r="B2231" s="438" t="s">
        <v>1259</v>
      </c>
      <c r="C2231" s="439" t="s">
        <v>76</v>
      </c>
      <c r="D2231" s="439" t="s">
        <v>77</v>
      </c>
      <c r="E2231" s="434">
        <v>0.185</v>
      </c>
      <c r="F2231" s="435">
        <v>12.86</v>
      </c>
      <c r="G2231" s="436">
        <f>E2231*F2231</f>
        <v>2.3790999999999998</v>
      </c>
    </row>
    <row r="2232" spans="1:7" ht="25.5">
      <c r="A2232" s="437" t="s">
        <v>494</v>
      </c>
      <c r="B2232" s="438" t="s">
        <v>495</v>
      </c>
      <c r="C2232" s="439" t="s">
        <v>76</v>
      </c>
      <c r="D2232" s="439" t="s">
        <v>77</v>
      </c>
      <c r="E2232" s="434">
        <v>0.185</v>
      </c>
      <c r="F2232" s="435">
        <v>15.12</v>
      </c>
      <c r="G2232" s="436">
        <f>E2232*F2232</f>
        <v>2.7971999999999997</v>
      </c>
    </row>
    <row r="2233" spans="1:7" ht="25.5">
      <c r="A2233" s="437" t="s">
        <v>579</v>
      </c>
      <c r="B2233" s="438" t="s">
        <v>580</v>
      </c>
      <c r="C2233" s="439" t="s">
        <v>73</v>
      </c>
      <c r="D2233" s="439" t="s">
        <v>85</v>
      </c>
      <c r="E2233" s="434">
        <v>0.037</v>
      </c>
      <c r="F2233" s="435">
        <v>36.08</v>
      </c>
      <c r="G2233" s="436">
        <f>E2233*F2233</f>
        <v>1.33496</v>
      </c>
    </row>
    <row r="2234" spans="1:7" ht="38.25">
      <c r="A2234" s="173" t="s">
        <v>1264</v>
      </c>
      <c r="B2234" s="438" t="s">
        <v>1263</v>
      </c>
      <c r="C2234" s="439" t="s">
        <v>73</v>
      </c>
      <c r="D2234" s="439" t="s">
        <v>75</v>
      </c>
      <c r="E2234" s="434">
        <v>1.015</v>
      </c>
      <c r="F2234" s="435">
        <v>11.83</v>
      </c>
      <c r="G2234" s="436">
        <f>E2234*F2234</f>
        <v>12.007449999999999</v>
      </c>
    </row>
    <row r="2235" spans="1:7" ht="25.5">
      <c r="A2235" s="437" t="s">
        <v>577</v>
      </c>
      <c r="B2235" s="438" t="s">
        <v>578</v>
      </c>
      <c r="C2235" s="439" t="s">
        <v>73</v>
      </c>
      <c r="D2235" s="439" t="s">
        <v>424</v>
      </c>
      <c r="E2235" s="434">
        <v>0.0216</v>
      </c>
      <c r="F2235" s="435">
        <v>41.55</v>
      </c>
      <c r="G2235" s="436">
        <f>E2235*F2235</f>
        <v>0.8974799999999999</v>
      </c>
    </row>
    <row r="2236" spans="1:7" ht="12.75">
      <c r="A2236" s="783" t="s">
        <v>439</v>
      </c>
      <c r="B2236" s="784"/>
      <c r="C2236" s="784"/>
      <c r="D2236" s="784"/>
      <c r="E2236" s="784"/>
      <c r="F2236" s="784"/>
      <c r="G2236" s="440">
        <f>ROUNDUP(SUM(G2231:G2232),2)</f>
        <v>5.18</v>
      </c>
    </row>
    <row r="2237" spans="1:7" ht="12.75">
      <c r="A2237" s="783" t="s">
        <v>440</v>
      </c>
      <c r="B2237" s="784"/>
      <c r="C2237" s="784"/>
      <c r="D2237" s="784"/>
      <c r="E2237" s="784"/>
      <c r="F2237" s="784"/>
      <c r="G2237" s="440">
        <f>SUM(G2233:G2235)</f>
        <v>14.239889999999999</v>
      </c>
    </row>
    <row r="2238" spans="1:7" ht="12.75">
      <c r="A2238" s="783" t="s">
        <v>441</v>
      </c>
      <c r="B2238" s="784"/>
      <c r="C2238" s="784"/>
      <c r="D2238" s="784"/>
      <c r="E2238" s="784"/>
      <c r="F2238" s="784"/>
      <c r="G2238" s="440">
        <f>SUM(G2236:G2237)</f>
        <v>19.41989</v>
      </c>
    </row>
    <row r="2239" spans="1:7" ht="12.75">
      <c r="A2239" s="783" t="s">
        <v>442</v>
      </c>
      <c r="B2239" s="784"/>
      <c r="C2239" s="784"/>
      <c r="D2239" s="784"/>
      <c r="E2239" s="784"/>
      <c r="F2239" s="784"/>
      <c r="G2239" s="440">
        <f>G2236*85.16%</f>
        <v>4.411287999999999</v>
      </c>
    </row>
    <row r="2240" spans="1:7" ht="12.75">
      <c r="A2240" s="783" t="s">
        <v>443</v>
      </c>
      <c r="B2240" s="784"/>
      <c r="C2240" s="784"/>
      <c r="D2240" s="784"/>
      <c r="E2240" s="784"/>
      <c r="F2240" s="784"/>
      <c r="G2240" s="440">
        <f>G2239</f>
        <v>4.411287999999999</v>
      </c>
    </row>
    <row r="2241" spans="1:7" ht="12.75">
      <c r="A2241" s="785" t="s">
        <v>444</v>
      </c>
      <c r="B2241" s="786"/>
      <c r="C2241" s="786"/>
      <c r="D2241" s="786"/>
      <c r="E2241" s="786"/>
      <c r="F2241" s="787"/>
      <c r="G2241" s="440">
        <f>G2237</f>
        <v>14.239889999999999</v>
      </c>
    </row>
    <row r="2242" spans="1:7" ht="12.75">
      <c r="A2242" s="785" t="s">
        <v>445</v>
      </c>
      <c r="B2242" s="786"/>
      <c r="C2242" s="786"/>
      <c r="D2242" s="786"/>
      <c r="E2242" s="786"/>
      <c r="F2242" s="787"/>
      <c r="G2242" s="440">
        <f>G2236+G2240</f>
        <v>9.591287999999999</v>
      </c>
    </row>
    <row r="2243" spans="1:7" ht="12.75">
      <c r="A2243" s="785" t="s">
        <v>446</v>
      </c>
      <c r="B2243" s="786"/>
      <c r="C2243" s="786"/>
      <c r="D2243" s="786"/>
      <c r="E2243" s="786"/>
      <c r="F2243" s="787"/>
      <c r="G2243" s="440">
        <f>SUM(G2241:G2242)</f>
        <v>23.831177999999998</v>
      </c>
    </row>
    <row r="2244" spans="1:7" ht="12.75">
      <c r="A2244" s="491" t="s">
        <v>83</v>
      </c>
      <c r="B2244" s="799" t="s">
        <v>1282</v>
      </c>
      <c r="C2244" s="799"/>
      <c r="D2244" s="799"/>
      <c r="E2244" s="799"/>
      <c r="F2244" s="799"/>
      <c r="G2244" s="800"/>
    </row>
    <row r="2245" spans="1:7" ht="12.75">
      <c r="A2245" s="804"/>
      <c r="B2245" s="805"/>
      <c r="C2245" s="805"/>
      <c r="D2245" s="805"/>
      <c r="E2245" s="805"/>
      <c r="F2245" s="805"/>
      <c r="G2245" s="806"/>
    </row>
    <row r="2246" spans="1:7" ht="12.75">
      <c r="A2246" s="597" t="s">
        <v>1525</v>
      </c>
      <c r="B2246" s="597" t="s">
        <v>1526</v>
      </c>
      <c r="C2246" s="595"/>
      <c r="D2246" s="595"/>
      <c r="E2246" s="595"/>
      <c r="F2246" s="595"/>
      <c r="G2246" s="596"/>
    </row>
    <row r="2247" spans="1:7" ht="25.5">
      <c r="A2247" s="597" t="s">
        <v>1519</v>
      </c>
      <c r="B2247" s="597" t="s">
        <v>1520</v>
      </c>
      <c r="C2247" s="595"/>
      <c r="D2247" s="595"/>
      <c r="E2247" s="595"/>
      <c r="F2247" s="595"/>
      <c r="G2247" s="596"/>
    </row>
    <row r="2248" spans="1:7" ht="12.75">
      <c r="A2248" s="597" t="s">
        <v>1529</v>
      </c>
      <c r="B2248" s="597" t="s">
        <v>1530</v>
      </c>
      <c r="C2248" s="595"/>
      <c r="D2248" s="595"/>
      <c r="E2248" s="595"/>
      <c r="F2248" s="595"/>
      <c r="G2248" s="596"/>
    </row>
    <row r="2249" spans="1:7" ht="12.75">
      <c r="A2249" s="597" t="s">
        <v>1709</v>
      </c>
      <c r="B2249" s="597"/>
      <c r="C2249" s="595"/>
      <c r="D2249" s="595"/>
      <c r="E2249" s="595"/>
      <c r="F2249" s="595"/>
      <c r="G2249" s="596"/>
    </row>
    <row r="2250" spans="1:7" ht="63.75">
      <c r="A2250" s="171" t="s">
        <v>1319</v>
      </c>
      <c r="B2250" s="511" t="s">
        <v>1320</v>
      </c>
      <c r="C2250" s="172" t="s">
        <v>72</v>
      </c>
      <c r="D2250" s="172" t="s">
        <v>75</v>
      </c>
      <c r="E2250" s="373"/>
      <c r="F2250" s="374"/>
      <c r="G2250" s="375"/>
    </row>
    <row r="2251" spans="1:7" ht="25.5">
      <c r="A2251" s="173">
        <v>122</v>
      </c>
      <c r="B2251" s="174" t="s">
        <v>578</v>
      </c>
      <c r="C2251" s="175" t="s">
        <v>73</v>
      </c>
      <c r="D2251" s="175" t="s">
        <v>75</v>
      </c>
      <c r="E2251" s="434">
        <v>0.007</v>
      </c>
      <c r="F2251" s="435">
        <v>41.55</v>
      </c>
      <c r="G2251" s="436">
        <f aca="true" t="shared" si="24" ref="G2251:G2256">E2251*F2251</f>
        <v>0.29085</v>
      </c>
    </row>
    <row r="2252" spans="1:7" ht="25.5">
      <c r="A2252" s="173">
        <v>20083</v>
      </c>
      <c r="B2252" s="174" t="s">
        <v>580</v>
      </c>
      <c r="C2252" s="175" t="s">
        <v>73</v>
      </c>
      <c r="D2252" s="175" t="s">
        <v>75</v>
      </c>
      <c r="E2252" s="434">
        <v>0.008</v>
      </c>
      <c r="F2252" s="435">
        <v>36.08</v>
      </c>
      <c r="G2252" s="436">
        <f t="shared" si="24"/>
        <v>0.28864</v>
      </c>
    </row>
    <row r="2253" spans="1:7" ht="38.25">
      <c r="A2253" s="173">
        <v>3524</v>
      </c>
      <c r="B2253" s="174" t="s">
        <v>1321</v>
      </c>
      <c r="C2253" s="175" t="s">
        <v>73</v>
      </c>
      <c r="D2253" s="175" t="s">
        <v>75</v>
      </c>
      <c r="E2253" s="434">
        <v>1</v>
      </c>
      <c r="F2253" s="435">
        <v>4.73</v>
      </c>
      <c r="G2253" s="436">
        <f t="shared" si="24"/>
        <v>4.73</v>
      </c>
    </row>
    <row r="2254" spans="1:7" ht="12.75">
      <c r="A2254" s="173">
        <v>38383</v>
      </c>
      <c r="B2254" s="174" t="s">
        <v>584</v>
      </c>
      <c r="C2254" s="175" t="s">
        <v>73</v>
      </c>
      <c r="D2254" s="175" t="s">
        <v>75</v>
      </c>
      <c r="E2254" s="434">
        <v>0.05</v>
      </c>
      <c r="F2254" s="435">
        <v>1.52</v>
      </c>
      <c r="G2254" s="436">
        <f t="shared" si="24"/>
        <v>0.07600000000000001</v>
      </c>
    </row>
    <row r="2255" spans="1:7" ht="38.25">
      <c r="A2255" s="173">
        <v>88248</v>
      </c>
      <c r="B2255" s="174" t="s">
        <v>493</v>
      </c>
      <c r="C2255" s="175" t="s">
        <v>72</v>
      </c>
      <c r="D2255" s="175" t="s">
        <v>77</v>
      </c>
      <c r="E2255" s="434">
        <v>0.15</v>
      </c>
      <c r="F2255" s="435">
        <v>12.86</v>
      </c>
      <c r="G2255" s="436">
        <f t="shared" si="24"/>
        <v>1.9289999999999998</v>
      </c>
    </row>
    <row r="2256" spans="1:7" ht="25.5">
      <c r="A2256" s="173">
        <v>88267</v>
      </c>
      <c r="B2256" s="174" t="s">
        <v>495</v>
      </c>
      <c r="C2256" s="175" t="s">
        <v>72</v>
      </c>
      <c r="D2256" s="175" t="s">
        <v>77</v>
      </c>
      <c r="E2256" s="434">
        <v>0.15</v>
      </c>
      <c r="F2256" s="435">
        <v>15.12</v>
      </c>
      <c r="G2256" s="436">
        <f t="shared" si="24"/>
        <v>2.268</v>
      </c>
    </row>
    <row r="2257" spans="1:7" ht="12.75">
      <c r="A2257" s="783" t="s">
        <v>439</v>
      </c>
      <c r="B2257" s="784"/>
      <c r="C2257" s="784"/>
      <c r="D2257" s="784"/>
      <c r="E2257" s="784"/>
      <c r="F2257" s="784"/>
      <c r="G2257" s="440">
        <f>ROUNDUP(SUM(G2252:G2255),2)</f>
        <v>7.029999999999999</v>
      </c>
    </row>
    <row r="2258" spans="1:7" ht="12.75">
      <c r="A2258" s="783" t="s">
        <v>440</v>
      </c>
      <c r="B2258" s="784"/>
      <c r="C2258" s="784"/>
      <c r="D2258" s="784"/>
      <c r="E2258" s="784"/>
      <c r="F2258" s="784"/>
      <c r="G2258" s="440">
        <f>SUM(G2256)+G2251</f>
        <v>2.5588499999999996</v>
      </c>
    </row>
    <row r="2259" spans="1:7" ht="12.75">
      <c r="A2259" s="783" t="s">
        <v>441</v>
      </c>
      <c r="B2259" s="784"/>
      <c r="C2259" s="784"/>
      <c r="D2259" s="784"/>
      <c r="E2259" s="784"/>
      <c r="F2259" s="784"/>
      <c r="G2259" s="440">
        <f>SUM(G2257:G2258)</f>
        <v>9.588849999999999</v>
      </c>
    </row>
    <row r="2260" spans="1:7" ht="12.75">
      <c r="A2260" s="783" t="s">
        <v>442</v>
      </c>
      <c r="B2260" s="784"/>
      <c r="C2260" s="784"/>
      <c r="D2260" s="784"/>
      <c r="E2260" s="784"/>
      <c r="F2260" s="784"/>
      <c r="G2260" s="440">
        <f>G2257*85.16%</f>
        <v>5.986747999999999</v>
      </c>
    </row>
    <row r="2261" spans="1:7" ht="12.75">
      <c r="A2261" s="783" t="s">
        <v>443</v>
      </c>
      <c r="B2261" s="784"/>
      <c r="C2261" s="784"/>
      <c r="D2261" s="784"/>
      <c r="E2261" s="784"/>
      <c r="F2261" s="784"/>
      <c r="G2261" s="440">
        <f>G2260</f>
        <v>5.986747999999999</v>
      </c>
    </row>
    <row r="2262" spans="1:7" ht="12.75">
      <c r="A2262" s="785" t="s">
        <v>444</v>
      </c>
      <c r="B2262" s="786"/>
      <c r="C2262" s="786"/>
      <c r="D2262" s="786"/>
      <c r="E2262" s="786"/>
      <c r="F2262" s="787"/>
      <c r="G2262" s="440">
        <f>G2258</f>
        <v>2.5588499999999996</v>
      </c>
    </row>
    <row r="2263" spans="1:7" ht="12.75">
      <c r="A2263" s="785" t="s">
        <v>445</v>
      </c>
      <c r="B2263" s="786"/>
      <c r="C2263" s="786"/>
      <c r="D2263" s="786"/>
      <c r="E2263" s="786"/>
      <c r="F2263" s="787"/>
      <c r="G2263" s="440">
        <f>G2257+G2261</f>
        <v>13.016747999999998</v>
      </c>
    </row>
    <row r="2264" spans="1:7" ht="12.75">
      <c r="A2264" s="785" t="s">
        <v>446</v>
      </c>
      <c r="B2264" s="786"/>
      <c r="C2264" s="786"/>
      <c r="D2264" s="786"/>
      <c r="E2264" s="786"/>
      <c r="F2264" s="787"/>
      <c r="G2264" s="440">
        <f>SUM(G2262:G2263)</f>
        <v>15.575597999999998</v>
      </c>
    </row>
    <row r="2265" spans="1:7" ht="12.75">
      <c r="A2265" s="796"/>
      <c r="B2265" s="797"/>
      <c r="C2265" s="797"/>
      <c r="D2265" s="797"/>
      <c r="E2265" s="797"/>
      <c r="F2265" s="797"/>
      <c r="G2265" s="798"/>
    </row>
    <row r="2266" spans="1:7" ht="12.75">
      <c r="A2266" s="591"/>
      <c r="B2266" s="592"/>
      <c r="C2266" s="592"/>
      <c r="D2266" s="592"/>
      <c r="E2266" s="592"/>
      <c r="F2266" s="592"/>
      <c r="G2266" s="593"/>
    </row>
    <row r="2267" spans="1:7" ht="12.75">
      <c r="A2267" s="597" t="s">
        <v>1533</v>
      </c>
      <c r="B2267" s="597" t="s">
        <v>1534</v>
      </c>
      <c r="C2267" s="592"/>
      <c r="D2267" s="592"/>
      <c r="E2267" s="592"/>
      <c r="F2267" s="592"/>
      <c r="G2267" s="593"/>
    </row>
    <row r="2268" spans="1:7" ht="12.75">
      <c r="A2268" s="597" t="s">
        <v>1715</v>
      </c>
      <c r="B2268" s="597"/>
      <c r="C2268" s="592"/>
      <c r="D2268" s="592"/>
      <c r="E2268" s="592"/>
      <c r="F2268" s="592"/>
      <c r="G2268" s="593"/>
    </row>
    <row r="2269" spans="1:7" ht="76.5">
      <c r="A2269" s="171" t="s">
        <v>1237</v>
      </c>
      <c r="B2269" s="299" t="s">
        <v>1238</v>
      </c>
      <c r="C2269" s="172" t="s">
        <v>72</v>
      </c>
      <c r="D2269" s="172" t="s">
        <v>75</v>
      </c>
      <c r="E2269" s="373"/>
      <c r="F2269" s="374"/>
      <c r="G2269" s="375"/>
    </row>
    <row r="2270" spans="1:7" ht="25.5">
      <c r="A2270" s="173">
        <v>20080</v>
      </c>
      <c r="B2270" s="174" t="s">
        <v>1233</v>
      </c>
      <c r="C2270" s="175" t="s">
        <v>73</v>
      </c>
      <c r="D2270" s="175" t="s">
        <v>75</v>
      </c>
      <c r="E2270" s="434">
        <v>0.231</v>
      </c>
      <c r="F2270" s="435">
        <v>13.19</v>
      </c>
      <c r="G2270" s="436">
        <f aca="true" t="shared" si="25" ref="G2270:G2275">E2270*F2270</f>
        <v>3.04689</v>
      </c>
    </row>
    <row r="2271" spans="1:7" ht="25.5">
      <c r="A2271" s="173">
        <v>20083</v>
      </c>
      <c r="B2271" s="174" t="s">
        <v>580</v>
      </c>
      <c r="C2271" s="175" t="s">
        <v>73</v>
      </c>
      <c r="D2271" s="175" t="s">
        <v>75</v>
      </c>
      <c r="E2271" s="434">
        <v>0.062</v>
      </c>
      <c r="F2271" s="435">
        <v>36.08</v>
      </c>
      <c r="G2271" s="436">
        <f t="shared" si="25"/>
        <v>2.23696</v>
      </c>
    </row>
    <row r="2272" spans="1:7" ht="12.75">
      <c r="A2272" s="173">
        <v>38383</v>
      </c>
      <c r="B2272" s="174" t="s">
        <v>584</v>
      </c>
      <c r="C2272" s="175" t="s">
        <v>73</v>
      </c>
      <c r="D2272" s="175" t="s">
        <v>75</v>
      </c>
      <c r="E2272" s="434">
        <v>0.055</v>
      </c>
      <c r="F2272" s="435">
        <v>1.52</v>
      </c>
      <c r="G2272" s="436">
        <f t="shared" si="25"/>
        <v>0.08360000000000001</v>
      </c>
    </row>
    <row r="2273" spans="1:7" ht="25.5">
      <c r="A2273" s="173">
        <v>7144</v>
      </c>
      <c r="B2273" s="174" t="s">
        <v>1241</v>
      </c>
      <c r="C2273" s="175" t="s">
        <v>73</v>
      </c>
      <c r="D2273" s="175" t="s">
        <v>75</v>
      </c>
      <c r="E2273" s="434">
        <v>1</v>
      </c>
      <c r="F2273" s="435">
        <v>34.67</v>
      </c>
      <c r="G2273" s="436">
        <f t="shared" si="25"/>
        <v>34.67</v>
      </c>
    </row>
    <row r="2274" spans="1:7" ht="38.25">
      <c r="A2274" s="173" t="s">
        <v>1239</v>
      </c>
      <c r="B2274" s="174" t="s">
        <v>493</v>
      </c>
      <c r="C2274" s="175" t="s">
        <v>72</v>
      </c>
      <c r="D2274" s="175" t="s">
        <v>77</v>
      </c>
      <c r="E2274" s="434">
        <v>0.368</v>
      </c>
      <c r="F2274" s="435">
        <v>12.86</v>
      </c>
      <c r="G2274" s="436">
        <f t="shared" si="25"/>
        <v>4.73248</v>
      </c>
    </row>
    <row r="2275" spans="1:7" ht="25.5">
      <c r="A2275" s="173" t="s">
        <v>1240</v>
      </c>
      <c r="B2275" s="174" t="s">
        <v>495</v>
      </c>
      <c r="C2275" s="175" t="s">
        <v>72</v>
      </c>
      <c r="D2275" s="175" t="s">
        <v>77</v>
      </c>
      <c r="E2275" s="434">
        <v>0.368</v>
      </c>
      <c r="F2275" s="435">
        <v>15.12</v>
      </c>
      <c r="G2275" s="436">
        <f t="shared" si="25"/>
        <v>5.564159999999999</v>
      </c>
    </row>
    <row r="2276" spans="1:7" ht="12.75">
      <c r="A2276" s="783" t="s">
        <v>439</v>
      </c>
      <c r="B2276" s="784"/>
      <c r="C2276" s="784"/>
      <c r="D2276" s="784"/>
      <c r="E2276" s="784"/>
      <c r="F2276" s="784"/>
      <c r="G2276" s="440">
        <f>ROUNDUP(SUM(G2274:G2275),2)</f>
        <v>10.299999999999999</v>
      </c>
    </row>
    <row r="2277" spans="1:7" ht="12.75">
      <c r="A2277" s="783" t="s">
        <v>440</v>
      </c>
      <c r="B2277" s="784"/>
      <c r="C2277" s="784"/>
      <c r="D2277" s="784"/>
      <c r="E2277" s="784"/>
      <c r="F2277" s="784"/>
      <c r="G2277" s="440">
        <f>ROUNDUP(SUM(G2270:G2273),2)</f>
        <v>40.04</v>
      </c>
    </row>
    <row r="2278" spans="1:7" ht="12.75">
      <c r="A2278" s="783" t="s">
        <v>441</v>
      </c>
      <c r="B2278" s="784"/>
      <c r="C2278" s="784"/>
      <c r="D2278" s="784"/>
      <c r="E2278" s="784"/>
      <c r="F2278" s="784"/>
      <c r="G2278" s="440">
        <f>SUM(G2276:G2277)</f>
        <v>50.339999999999996</v>
      </c>
    </row>
    <row r="2279" spans="1:7" ht="12.75">
      <c r="A2279" s="783" t="s">
        <v>442</v>
      </c>
      <c r="B2279" s="784"/>
      <c r="C2279" s="784"/>
      <c r="D2279" s="784"/>
      <c r="E2279" s="784"/>
      <c r="F2279" s="784"/>
      <c r="G2279" s="440">
        <f>G2276*85.16%</f>
        <v>8.771479999999999</v>
      </c>
    </row>
    <row r="2280" spans="1:7" ht="12.75">
      <c r="A2280" s="783" t="s">
        <v>443</v>
      </c>
      <c r="B2280" s="784"/>
      <c r="C2280" s="784"/>
      <c r="D2280" s="784"/>
      <c r="E2280" s="784"/>
      <c r="F2280" s="784"/>
      <c r="G2280" s="440">
        <f>G2279</f>
        <v>8.771479999999999</v>
      </c>
    </row>
    <row r="2281" spans="1:7" ht="12.75">
      <c r="A2281" s="785" t="s">
        <v>444</v>
      </c>
      <c r="B2281" s="786"/>
      <c r="C2281" s="786"/>
      <c r="D2281" s="786"/>
      <c r="E2281" s="786"/>
      <c r="F2281" s="787"/>
      <c r="G2281" s="440">
        <f>G2277</f>
        <v>40.04</v>
      </c>
    </row>
    <row r="2282" spans="1:7" ht="12.75">
      <c r="A2282" s="785" t="s">
        <v>445</v>
      </c>
      <c r="B2282" s="786"/>
      <c r="C2282" s="786"/>
      <c r="D2282" s="786"/>
      <c r="E2282" s="786"/>
      <c r="F2282" s="787"/>
      <c r="G2282" s="440">
        <f>G2276+G2280</f>
        <v>19.071479999999998</v>
      </c>
    </row>
    <row r="2283" spans="1:7" ht="12.75">
      <c r="A2283" s="785" t="s">
        <v>446</v>
      </c>
      <c r="B2283" s="786"/>
      <c r="C2283" s="786"/>
      <c r="D2283" s="786"/>
      <c r="E2283" s="786"/>
      <c r="F2283" s="787"/>
      <c r="G2283" s="440">
        <f>SUM(G2281:G2282)</f>
        <v>59.11148</v>
      </c>
    </row>
    <row r="2284" spans="5:7" ht="12.75">
      <c r="E2284" s="461"/>
      <c r="F2284" s="461"/>
      <c r="G2284" s="461"/>
    </row>
    <row r="2285" spans="1:7" ht="12.75">
      <c r="A2285" s="714" t="s">
        <v>1716</v>
      </c>
      <c r="E2285" s="461"/>
      <c r="F2285" s="461"/>
      <c r="G2285" s="461"/>
    </row>
    <row r="2286" spans="1:7" ht="76.5">
      <c r="A2286" s="171" t="s">
        <v>1255</v>
      </c>
      <c r="B2286" s="299" t="s">
        <v>1256</v>
      </c>
      <c r="C2286" s="172" t="s">
        <v>72</v>
      </c>
      <c r="D2286" s="172" t="s">
        <v>75</v>
      </c>
      <c r="E2286" s="373"/>
      <c r="F2286" s="374"/>
      <c r="G2286" s="375"/>
    </row>
    <row r="2287" spans="1:7" ht="25.5">
      <c r="A2287" s="173">
        <v>20080</v>
      </c>
      <c r="B2287" s="174" t="s">
        <v>1233</v>
      </c>
      <c r="C2287" s="175" t="s">
        <v>73</v>
      </c>
      <c r="D2287" s="175" t="s">
        <v>75</v>
      </c>
      <c r="E2287" s="434">
        <v>0.06</v>
      </c>
      <c r="F2287" s="435">
        <v>13.19</v>
      </c>
      <c r="G2287" s="436">
        <f aca="true" t="shared" si="26" ref="G2287:G2292">E2287*F2287</f>
        <v>0.7914</v>
      </c>
    </row>
    <row r="2288" spans="1:7" ht="25.5">
      <c r="A2288" s="173">
        <v>20083</v>
      </c>
      <c r="B2288" s="174" t="s">
        <v>580</v>
      </c>
      <c r="C2288" s="175" t="s">
        <v>73</v>
      </c>
      <c r="D2288" s="175" t="s">
        <v>75</v>
      </c>
      <c r="E2288" s="434">
        <v>0.014</v>
      </c>
      <c r="F2288" s="435">
        <v>36.08</v>
      </c>
      <c r="G2288" s="436">
        <f t="shared" si="26"/>
        <v>0.50512</v>
      </c>
    </row>
    <row r="2289" spans="1:7" ht="12.75">
      <c r="A2289" s="173">
        <v>38383</v>
      </c>
      <c r="B2289" s="174" t="s">
        <v>584</v>
      </c>
      <c r="C2289" s="175" t="s">
        <v>73</v>
      </c>
      <c r="D2289" s="175" t="s">
        <v>75</v>
      </c>
      <c r="E2289" s="434">
        <v>0.024</v>
      </c>
      <c r="F2289" s="435">
        <v>1.52</v>
      </c>
      <c r="G2289" s="436">
        <f t="shared" si="26"/>
        <v>0.03648</v>
      </c>
    </row>
    <row r="2290" spans="1:7" ht="25.5">
      <c r="A2290" s="173">
        <v>7140</v>
      </c>
      <c r="B2290" s="174" t="s">
        <v>1242</v>
      </c>
      <c r="C2290" s="175" t="s">
        <v>73</v>
      </c>
      <c r="D2290" s="175" t="s">
        <v>75</v>
      </c>
      <c r="E2290" s="434">
        <v>1</v>
      </c>
      <c r="F2290" s="435">
        <v>2.16</v>
      </c>
      <c r="G2290" s="436">
        <f t="shared" si="26"/>
        <v>2.16</v>
      </c>
    </row>
    <row r="2291" spans="1:7" ht="38.25">
      <c r="A2291" s="173" t="s">
        <v>1239</v>
      </c>
      <c r="B2291" s="174" t="s">
        <v>493</v>
      </c>
      <c r="C2291" s="175" t="s">
        <v>72</v>
      </c>
      <c r="D2291" s="175" t="s">
        <v>77</v>
      </c>
      <c r="E2291" s="434">
        <v>0.159</v>
      </c>
      <c r="F2291" s="435">
        <v>12.86</v>
      </c>
      <c r="G2291" s="436">
        <f t="shared" si="26"/>
        <v>2.04474</v>
      </c>
    </row>
    <row r="2292" spans="1:7" ht="25.5">
      <c r="A2292" s="173" t="s">
        <v>1240</v>
      </c>
      <c r="B2292" s="174" t="s">
        <v>495</v>
      </c>
      <c r="C2292" s="175" t="s">
        <v>72</v>
      </c>
      <c r="D2292" s="175" t="s">
        <v>77</v>
      </c>
      <c r="E2292" s="434">
        <v>0.159</v>
      </c>
      <c r="F2292" s="435">
        <v>15.12</v>
      </c>
      <c r="G2292" s="436">
        <f t="shared" si="26"/>
        <v>2.40408</v>
      </c>
    </row>
    <row r="2293" spans="1:7" ht="12.75">
      <c r="A2293" s="783" t="s">
        <v>439</v>
      </c>
      <c r="B2293" s="784"/>
      <c r="C2293" s="784"/>
      <c r="D2293" s="784"/>
      <c r="E2293" s="784"/>
      <c r="F2293" s="784"/>
      <c r="G2293" s="440">
        <f>ROUNDUP(SUM(G2291:G2292),2)</f>
        <v>4.45</v>
      </c>
    </row>
    <row r="2294" spans="1:7" ht="12.75">
      <c r="A2294" s="783" t="s">
        <v>440</v>
      </c>
      <c r="B2294" s="784"/>
      <c r="C2294" s="784"/>
      <c r="D2294" s="784"/>
      <c r="E2294" s="784"/>
      <c r="F2294" s="784"/>
      <c r="G2294" s="440">
        <f>ROUNDUP(SUM(G2287:G2290),2)</f>
        <v>3.5</v>
      </c>
    </row>
    <row r="2295" spans="1:7" ht="12.75">
      <c r="A2295" s="783" t="s">
        <v>441</v>
      </c>
      <c r="B2295" s="784"/>
      <c r="C2295" s="784"/>
      <c r="D2295" s="784"/>
      <c r="E2295" s="784"/>
      <c r="F2295" s="784"/>
      <c r="G2295" s="440">
        <f>SUM(G2293:G2294)</f>
        <v>7.95</v>
      </c>
    </row>
    <row r="2296" spans="1:7" ht="12.75">
      <c r="A2296" s="783" t="s">
        <v>442</v>
      </c>
      <c r="B2296" s="784"/>
      <c r="C2296" s="784"/>
      <c r="D2296" s="784"/>
      <c r="E2296" s="784"/>
      <c r="F2296" s="784"/>
      <c r="G2296" s="440">
        <f>G2293*85.16%</f>
        <v>3.7896199999999998</v>
      </c>
    </row>
    <row r="2297" spans="1:7" ht="12.75">
      <c r="A2297" s="783" t="s">
        <v>443</v>
      </c>
      <c r="B2297" s="784"/>
      <c r="C2297" s="784"/>
      <c r="D2297" s="784"/>
      <c r="E2297" s="784"/>
      <c r="F2297" s="784"/>
      <c r="G2297" s="440">
        <f>G2296</f>
        <v>3.7896199999999998</v>
      </c>
    </row>
    <row r="2298" spans="1:7" ht="12.75">
      <c r="A2298" s="785" t="s">
        <v>444</v>
      </c>
      <c r="B2298" s="786"/>
      <c r="C2298" s="786"/>
      <c r="D2298" s="786"/>
      <c r="E2298" s="786"/>
      <c r="F2298" s="787"/>
      <c r="G2298" s="440">
        <f>G2294</f>
        <v>3.5</v>
      </c>
    </row>
    <row r="2299" spans="1:7" ht="12.75">
      <c r="A2299" s="785" t="s">
        <v>445</v>
      </c>
      <c r="B2299" s="786"/>
      <c r="C2299" s="786"/>
      <c r="D2299" s="786"/>
      <c r="E2299" s="786"/>
      <c r="F2299" s="787"/>
      <c r="G2299" s="440">
        <f>G2293+G2297</f>
        <v>8.23962</v>
      </c>
    </row>
    <row r="2300" spans="1:7" ht="12.75">
      <c r="A2300" s="785" t="s">
        <v>446</v>
      </c>
      <c r="B2300" s="786"/>
      <c r="C2300" s="786"/>
      <c r="D2300" s="786"/>
      <c r="E2300" s="786"/>
      <c r="F2300" s="787"/>
      <c r="G2300" s="440">
        <f>SUM(G2298:G2299)</f>
        <v>11.73962</v>
      </c>
    </row>
    <row r="2301" spans="5:7" ht="12.75">
      <c r="E2301" s="461"/>
      <c r="F2301" s="461"/>
      <c r="G2301" s="461"/>
    </row>
    <row r="2302" spans="1:7" ht="12.75">
      <c r="A2302" s="804"/>
      <c r="B2302" s="805"/>
      <c r="C2302" s="805"/>
      <c r="D2302" s="805"/>
      <c r="E2302" s="805"/>
      <c r="F2302" s="805"/>
      <c r="G2302" s="806"/>
    </row>
    <row r="2303" spans="1:7" ht="12.75">
      <c r="A2303" s="704" t="s">
        <v>1717</v>
      </c>
      <c r="B2303" s="595"/>
      <c r="C2303" s="595"/>
      <c r="D2303" s="595"/>
      <c r="E2303" s="595"/>
      <c r="F2303" s="595"/>
      <c r="G2303" s="596"/>
    </row>
    <row r="2304" spans="1:7" ht="63.75">
      <c r="A2304" s="171" t="s">
        <v>593</v>
      </c>
      <c r="B2304" s="182" t="s">
        <v>594</v>
      </c>
      <c r="C2304" s="172" t="s">
        <v>72</v>
      </c>
      <c r="D2304" s="172" t="s">
        <v>75</v>
      </c>
      <c r="E2304" s="373"/>
      <c r="F2304" s="374"/>
      <c r="G2304" s="375"/>
    </row>
    <row r="2305" spans="1:7" ht="25.5">
      <c r="A2305" s="173" t="s">
        <v>577</v>
      </c>
      <c r="B2305" s="174" t="s">
        <v>578</v>
      </c>
      <c r="C2305" s="175" t="s">
        <v>73</v>
      </c>
      <c r="D2305" s="175" t="s">
        <v>75</v>
      </c>
      <c r="E2305" s="434">
        <v>0.011</v>
      </c>
      <c r="F2305" s="435">
        <v>41.55</v>
      </c>
      <c r="G2305" s="436">
        <f aca="true" t="shared" si="27" ref="G2305:G2310">E2305*F2305</f>
        <v>0.45704999999999996</v>
      </c>
    </row>
    <row r="2306" spans="1:7" ht="25.5">
      <c r="A2306" s="173" t="s">
        <v>579</v>
      </c>
      <c r="B2306" s="174" t="s">
        <v>580</v>
      </c>
      <c r="C2306" s="175" t="s">
        <v>73</v>
      </c>
      <c r="D2306" s="175" t="s">
        <v>75</v>
      </c>
      <c r="E2306" s="434">
        <v>0.012</v>
      </c>
      <c r="F2306" s="435">
        <v>36.08</v>
      </c>
      <c r="G2306" s="436">
        <f t="shared" si="27"/>
        <v>0.43296</v>
      </c>
    </row>
    <row r="2307" spans="1:7" ht="12.75">
      <c r="A2307" s="173" t="s">
        <v>583</v>
      </c>
      <c r="B2307" s="174" t="s">
        <v>584</v>
      </c>
      <c r="C2307" s="175" t="s">
        <v>73</v>
      </c>
      <c r="D2307" s="175" t="s">
        <v>75</v>
      </c>
      <c r="E2307" s="434">
        <v>0.075</v>
      </c>
      <c r="F2307" s="435">
        <v>1.52</v>
      </c>
      <c r="G2307" s="436">
        <f t="shared" si="27"/>
        <v>0.11399999999999999</v>
      </c>
    </row>
    <row r="2308" spans="1:7" ht="38.25">
      <c r="A2308" s="173" t="s">
        <v>595</v>
      </c>
      <c r="B2308" s="174" t="s">
        <v>596</v>
      </c>
      <c r="C2308" s="175" t="s">
        <v>73</v>
      </c>
      <c r="D2308" s="175" t="s">
        <v>75</v>
      </c>
      <c r="E2308" s="434">
        <v>1</v>
      </c>
      <c r="F2308" s="435">
        <v>6.54</v>
      </c>
      <c r="G2308" s="436">
        <f t="shared" si="27"/>
        <v>6.54</v>
      </c>
    </row>
    <row r="2309" spans="1:7" ht="38.25">
      <c r="A2309" s="173" t="s">
        <v>492</v>
      </c>
      <c r="B2309" s="174" t="s">
        <v>493</v>
      </c>
      <c r="C2309" s="175" t="s">
        <v>72</v>
      </c>
      <c r="D2309" s="175" t="s">
        <v>77</v>
      </c>
      <c r="E2309" s="434">
        <v>0.2</v>
      </c>
      <c r="F2309" s="435">
        <v>12.86</v>
      </c>
      <c r="G2309" s="436">
        <f t="shared" si="27"/>
        <v>2.572</v>
      </c>
    </row>
    <row r="2310" spans="1:7" ht="25.5">
      <c r="A2310" s="173" t="s">
        <v>494</v>
      </c>
      <c r="B2310" s="174" t="s">
        <v>495</v>
      </c>
      <c r="C2310" s="175" t="s">
        <v>72</v>
      </c>
      <c r="D2310" s="175" t="s">
        <v>77</v>
      </c>
      <c r="E2310" s="434">
        <v>0.2</v>
      </c>
      <c r="F2310" s="435">
        <v>15.12</v>
      </c>
      <c r="G2310" s="436">
        <f t="shared" si="27"/>
        <v>3.024</v>
      </c>
    </row>
    <row r="2311" spans="1:7" ht="12.75">
      <c r="A2311" s="783" t="s">
        <v>439</v>
      </c>
      <c r="B2311" s="784"/>
      <c r="C2311" s="784"/>
      <c r="D2311" s="784"/>
      <c r="E2311" s="784"/>
      <c r="F2311" s="784"/>
      <c r="G2311" s="440">
        <f>ROUNDUP(SUM(G2309:G2310),2)</f>
        <v>5.6</v>
      </c>
    </row>
    <row r="2312" spans="1:7" ht="12.75">
      <c r="A2312" s="783" t="s">
        <v>440</v>
      </c>
      <c r="B2312" s="784"/>
      <c r="C2312" s="784"/>
      <c r="D2312" s="784"/>
      <c r="E2312" s="784"/>
      <c r="F2312" s="784"/>
      <c r="G2312" s="440">
        <f>ROUNDUP(SUM(G2305:G2308),2)</f>
        <v>7.55</v>
      </c>
    </row>
    <row r="2313" spans="1:7" ht="12.75">
      <c r="A2313" s="783" t="s">
        <v>441</v>
      </c>
      <c r="B2313" s="784"/>
      <c r="C2313" s="784"/>
      <c r="D2313" s="784"/>
      <c r="E2313" s="784"/>
      <c r="F2313" s="784"/>
      <c r="G2313" s="440">
        <f>SUM(G2311:G2312)</f>
        <v>13.149999999999999</v>
      </c>
    </row>
    <row r="2314" spans="1:7" ht="12.75">
      <c r="A2314" s="783" t="s">
        <v>442</v>
      </c>
      <c r="B2314" s="784"/>
      <c r="C2314" s="784"/>
      <c r="D2314" s="784"/>
      <c r="E2314" s="784"/>
      <c r="F2314" s="784"/>
      <c r="G2314" s="440">
        <f>G2311*85.16%</f>
        <v>4.768959999999999</v>
      </c>
    </row>
    <row r="2315" spans="1:7" ht="12.75">
      <c r="A2315" s="783" t="s">
        <v>443</v>
      </c>
      <c r="B2315" s="784"/>
      <c r="C2315" s="784"/>
      <c r="D2315" s="784"/>
      <c r="E2315" s="784"/>
      <c r="F2315" s="784"/>
      <c r="G2315" s="440">
        <f>G2314</f>
        <v>4.768959999999999</v>
      </c>
    </row>
    <row r="2316" spans="1:7" ht="12.75">
      <c r="A2316" s="785" t="s">
        <v>444</v>
      </c>
      <c r="B2316" s="786"/>
      <c r="C2316" s="786"/>
      <c r="D2316" s="786"/>
      <c r="E2316" s="786"/>
      <c r="F2316" s="787"/>
      <c r="G2316" s="440">
        <f>G2312</f>
        <v>7.55</v>
      </c>
    </row>
    <row r="2317" spans="1:7" ht="12.75">
      <c r="A2317" s="785" t="s">
        <v>445</v>
      </c>
      <c r="B2317" s="786"/>
      <c r="C2317" s="786"/>
      <c r="D2317" s="786"/>
      <c r="E2317" s="786"/>
      <c r="F2317" s="787"/>
      <c r="G2317" s="440">
        <f>G2311+G2315</f>
        <v>10.368959999999998</v>
      </c>
    </row>
    <row r="2318" spans="1:7" ht="12.75">
      <c r="A2318" s="785" t="s">
        <v>446</v>
      </c>
      <c r="B2318" s="786"/>
      <c r="C2318" s="786"/>
      <c r="D2318" s="786"/>
      <c r="E2318" s="786"/>
      <c r="F2318" s="787"/>
      <c r="G2318" s="440">
        <f>SUM(G2316:G2317)</f>
        <v>17.91896</v>
      </c>
    </row>
    <row r="2319" spans="1:7" ht="12.75">
      <c r="A2319" s="796"/>
      <c r="B2319" s="797"/>
      <c r="C2319" s="797"/>
      <c r="D2319" s="797"/>
      <c r="E2319" s="797"/>
      <c r="F2319" s="797"/>
      <c r="G2319" s="798"/>
    </row>
    <row r="2320" spans="1:7" ht="12.75">
      <c r="A2320" s="804"/>
      <c r="B2320" s="805"/>
      <c r="C2320" s="805"/>
      <c r="D2320" s="805"/>
      <c r="E2320" s="805"/>
      <c r="F2320" s="805"/>
      <c r="G2320" s="806"/>
    </row>
    <row r="2321" spans="1:7" ht="12.75">
      <c r="A2321" s="597" t="s">
        <v>1543</v>
      </c>
      <c r="B2321" s="597" t="s">
        <v>1544</v>
      </c>
      <c r="C2321" s="595"/>
      <c r="D2321" s="595"/>
      <c r="E2321" s="595"/>
      <c r="F2321" s="595"/>
      <c r="G2321" s="596"/>
    </row>
    <row r="2322" spans="1:7" ht="12.75">
      <c r="A2322" s="597" t="s">
        <v>1546</v>
      </c>
      <c r="B2322" s="597" t="s">
        <v>1545</v>
      </c>
      <c r="C2322" s="595"/>
      <c r="D2322" s="595"/>
      <c r="E2322" s="595"/>
      <c r="F2322" s="595"/>
      <c r="G2322" s="596"/>
    </row>
    <row r="2323" spans="1:7" ht="12.75">
      <c r="A2323" s="597" t="s">
        <v>1547</v>
      </c>
      <c r="B2323" s="597" t="s">
        <v>1521</v>
      </c>
      <c r="C2323" s="595"/>
      <c r="D2323" s="595"/>
      <c r="E2323" s="595"/>
      <c r="F2323" s="595"/>
      <c r="G2323" s="596"/>
    </row>
    <row r="2324" spans="1:7" ht="12.75">
      <c r="A2324" s="597" t="s">
        <v>1750</v>
      </c>
      <c r="B2324" s="597"/>
      <c r="C2324" s="595"/>
      <c r="D2324" s="595"/>
      <c r="E2324" s="595"/>
      <c r="F2324" s="595"/>
      <c r="G2324" s="596"/>
    </row>
    <row r="2325" spans="1:7" ht="63.75">
      <c r="A2325" s="171" t="s">
        <v>742</v>
      </c>
      <c r="B2325" s="182" t="s">
        <v>743</v>
      </c>
      <c r="C2325" s="172" t="s">
        <v>72</v>
      </c>
      <c r="D2325" s="172" t="s">
        <v>71</v>
      </c>
      <c r="E2325" s="373"/>
      <c r="F2325" s="374"/>
      <c r="G2325" s="375"/>
    </row>
    <row r="2326" spans="1:7" ht="12.75">
      <c r="A2326" s="173" t="s">
        <v>583</v>
      </c>
      <c r="B2326" s="174" t="s">
        <v>584</v>
      </c>
      <c r="C2326" s="175" t="s">
        <v>73</v>
      </c>
      <c r="D2326" s="175" t="s">
        <v>75</v>
      </c>
      <c r="E2326" s="434">
        <v>0.1</v>
      </c>
      <c r="F2326" s="435">
        <v>1.52</v>
      </c>
      <c r="G2326" s="436">
        <f>E2326*F2326</f>
        <v>0.15200000000000002</v>
      </c>
    </row>
    <row r="2327" spans="1:7" ht="38.25">
      <c r="A2327" s="173" t="s">
        <v>492</v>
      </c>
      <c r="B2327" s="174" t="s">
        <v>493</v>
      </c>
      <c r="C2327" s="175" t="s">
        <v>72</v>
      </c>
      <c r="D2327" s="175" t="s">
        <v>77</v>
      </c>
      <c r="E2327" s="434">
        <v>0.3</v>
      </c>
      <c r="F2327" s="435">
        <v>12.86</v>
      </c>
      <c r="G2327" s="436">
        <f>E2327*F2327</f>
        <v>3.8579999999999997</v>
      </c>
    </row>
    <row r="2328" spans="1:7" ht="25.5">
      <c r="A2328" s="173" t="s">
        <v>494</v>
      </c>
      <c r="B2328" s="174" t="s">
        <v>495</v>
      </c>
      <c r="C2328" s="175" t="s">
        <v>72</v>
      </c>
      <c r="D2328" s="175" t="s">
        <v>77</v>
      </c>
      <c r="E2328" s="434">
        <v>0.3</v>
      </c>
      <c r="F2328" s="435">
        <v>15.12</v>
      </c>
      <c r="G2328" s="436">
        <f>E2328*F2328</f>
        <v>4.536</v>
      </c>
    </row>
    <row r="2329" spans="1:7" ht="25.5">
      <c r="A2329" s="173" t="s">
        <v>744</v>
      </c>
      <c r="B2329" s="174" t="s">
        <v>745</v>
      </c>
      <c r="C2329" s="175" t="s">
        <v>73</v>
      </c>
      <c r="D2329" s="175" t="s">
        <v>71</v>
      </c>
      <c r="E2329" s="434">
        <v>1.05</v>
      </c>
      <c r="F2329" s="435">
        <v>3.28</v>
      </c>
      <c r="G2329" s="436">
        <f>E2329*F2329</f>
        <v>3.444</v>
      </c>
    </row>
    <row r="2330" spans="1:7" ht="12.75">
      <c r="A2330" s="783" t="s">
        <v>439</v>
      </c>
      <c r="B2330" s="784"/>
      <c r="C2330" s="784"/>
      <c r="D2330" s="784"/>
      <c r="E2330" s="784"/>
      <c r="F2330" s="784"/>
      <c r="G2330" s="440">
        <f>ROUNDDOWN(SUM(G2327:G2328),2)</f>
        <v>8.39</v>
      </c>
    </row>
    <row r="2331" spans="1:7" ht="12.75">
      <c r="A2331" s="783" t="s">
        <v>440</v>
      </c>
      <c r="B2331" s="784"/>
      <c r="C2331" s="784"/>
      <c r="D2331" s="784"/>
      <c r="E2331" s="784"/>
      <c r="F2331" s="784"/>
      <c r="G2331" s="440">
        <f>ROUNDUP(SUM(G2326),2)+G2329</f>
        <v>3.604</v>
      </c>
    </row>
    <row r="2332" spans="1:7" ht="12.75">
      <c r="A2332" s="783" t="s">
        <v>441</v>
      </c>
      <c r="B2332" s="784"/>
      <c r="C2332" s="784"/>
      <c r="D2332" s="784"/>
      <c r="E2332" s="784"/>
      <c r="F2332" s="784"/>
      <c r="G2332" s="440">
        <f>SUM(G2330:G2331)</f>
        <v>11.994</v>
      </c>
    </row>
    <row r="2333" spans="1:7" ht="12.75">
      <c r="A2333" s="783" t="s">
        <v>442</v>
      </c>
      <c r="B2333" s="784"/>
      <c r="C2333" s="784"/>
      <c r="D2333" s="784"/>
      <c r="E2333" s="784"/>
      <c r="F2333" s="784"/>
      <c r="G2333" s="440">
        <f>G2330*85.16%</f>
        <v>7.144924</v>
      </c>
    </row>
    <row r="2334" spans="1:7" ht="12.75">
      <c r="A2334" s="783" t="s">
        <v>443</v>
      </c>
      <c r="B2334" s="784"/>
      <c r="C2334" s="784"/>
      <c r="D2334" s="784"/>
      <c r="E2334" s="784"/>
      <c r="F2334" s="784"/>
      <c r="G2334" s="440">
        <f>G2333</f>
        <v>7.144924</v>
      </c>
    </row>
    <row r="2335" spans="1:7" ht="12.75">
      <c r="A2335" s="785" t="s">
        <v>444</v>
      </c>
      <c r="B2335" s="786"/>
      <c r="C2335" s="786"/>
      <c r="D2335" s="786"/>
      <c r="E2335" s="786"/>
      <c r="F2335" s="787"/>
      <c r="G2335" s="440">
        <f>G2331</f>
        <v>3.604</v>
      </c>
    </row>
    <row r="2336" spans="1:7" ht="12.75">
      <c r="A2336" s="785" t="s">
        <v>445</v>
      </c>
      <c r="B2336" s="786"/>
      <c r="C2336" s="786"/>
      <c r="D2336" s="786"/>
      <c r="E2336" s="786"/>
      <c r="F2336" s="787"/>
      <c r="G2336" s="440">
        <f>G2330+G2334</f>
        <v>15.534924</v>
      </c>
    </row>
    <row r="2337" spans="1:7" ht="12.75">
      <c r="A2337" s="785" t="s">
        <v>446</v>
      </c>
      <c r="B2337" s="786"/>
      <c r="C2337" s="786"/>
      <c r="D2337" s="786"/>
      <c r="E2337" s="786"/>
      <c r="F2337" s="787"/>
      <c r="G2337" s="440">
        <f>SUM(G2335:G2336)</f>
        <v>19.138924</v>
      </c>
    </row>
    <row r="2338" spans="1:7" ht="12.75">
      <c r="A2338" s="796"/>
      <c r="B2338" s="797"/>
      <c r="C2338" s="797"/>
      <c r="D2338" s="797"/>
      <c r="E2338" s="797"/>
      <c r="F2338" s="797"/>
      <c r="G2338" s="798"/>
    </row>
    <row r="2339" spans="1:7" ht="12.75">
      <c r="A2339" s="804"/>
      <c r="B2339" s="805"/>
      <c r="C2339" s="805"/>
      <c r="D2339" s="805"/>
      <c r="E2339" s="805"/>
      <c r="F2339" s="805"/>
      <c r="G2339" s="806"/>
    </row>
    <row r="2340" spans="1:7" ht="12.75">
      <c r="A2340" s="597" t="s">
        <v>1751</v>
      </c>
      <c r="B2340" s="595"/>
      <c r="C2340" s="595"/>
      <c r="D2340" s="595"/>
      <c r="E2340" s="595"/>
      <c r="F2340" s="595"/>
      <c r="G2340" s="596"/>
    </row>
    <row r="2341" spans="1:7" ht="63.75">
      <c r="A2341" s="171" t="s">
        <v>746</v>
      </c>
      <c r="B2341" s="182" t="s">
        <v>747</v>
      </c>
      <c r="C2341" s="172" t="s">
        <v>72</v>
      </c>
      <c r="D2341" s="172" t="s">
        <v>71</v>
      </c>
      <c r="E2341" s="373"/>
      <c r="F2341" s="374"/>
      <c r="G2341" s="375"/>
    </row>
    <row r="2342" spans="1:7" ht="25.5">
      <c r="A2342" s="173" t="s">
        <v>577</v>
      </c>
      <c r="B2342" s="174" t="s">
        <v>578</v>
      </c>
      <c r="C2342" s="175" t="s">
        <v>73</v>
      </c>
      <c r="D2342" s="175" t="s">
        <v>75</v>
      </c>
      <c r="E2342" s="434">
        <v>0.0108</v>
      </c>
      <c r="F2342" s="435">
        <v>41.55</v>
      </c>
      <c r="G2342" s="436">
        <f aca="true" t="shared" si="28" ref="G2342:G2347">E2342*F2342</f>
        <v>0.44873999999999997</v>
      </c>
    </row>
    <row r="2343" spans="1:7" ht="25.5">
      <c r="A2343" s="173" t="s">
        <v>579</v>
      </c>
      <c r="B2343" s="174" t="s">
        <v>580</v>
      </c>
      <c r="C2343" s="175" t="s">
        <v>73</v>
      </c>
      <c r="D2343" s="175" t="s">
        <v>75</v>
      </c>
      <c r="E2343" s="434">
        <v>0.0163</v>
      </c>
      <c r="F2343" s="435">
        <v>36.08</v>
      </c>
      <c r="G2343" s="436">
        <f t="shared" si="28"/>
        <v>0.588104</v>
      </c>
    </row>
    <row r="2344" spans="1:7" ht="12.75">
      <c r="A2344" s="173" t="s">
        <v>583</v>
      </c>
      <c r="B2344" s="174" t="s">
        <v>584</v>
      </c>
      <c r="C2344" s="175" t="s">
        <v>73</v>
      </c>
      <c r="D2344" s="175" t="s">
        <v>75</v>
      </c>
      <c r="E2344" s="434">
        <v>0.127</v>
      </c>
      <c r="F2344" s="435">
        <v>1.52</v>
      </c>
      <c r="G2344" s="436">
        <f t="shared" si="28"/>
        <v>0.19304000000000002</v>
      </c>
    </row>
    <row r="2345" spans="1:7" ht="38.25">
      <c r="A2345" s="173" t="s">
        <v>492</v>
      </c>
      <c r="B2345" s="174" t="s">
        <v>493</v>
      </c>
      <c r="C2345" s="175" t="s">
        <v>72</v>
      </c>
      <c r="D2345" s="175" t="s">
        <v>77</v>
      </c>
      <c r="E2345" s="434">
        <v>0.38</v>
      </c>
      <c r="F2345" s="435">
        <v>12.86</v>
      </c>
      <c r="G2345" s="436">
        <f t="shared" si="28"/>
        <v>4.8868</v>
      </c>
    </row>
    <row r="2346" spans="1:7" ht="25.5">
      <c r="A2346" s="173" t="s">
        <v>494</v>
      </c>
      <c r="B2346" s="174" t="s">
        <v>495</v>
      </c>
      <c r="C2346" s="175" t="s">
        <v>72</v>
      </c>
      <c r="D2346" s="175" t="s">
        <v>77</v>
      </c>
      <c r="E2346" s="434">
        <v>0.38</v>
      </c>
      <c r="F2346" s="435">
        <v>15.12</v>
      </c>
      <c r="G2346" s="436">
        <f t="shared" si="28"/>
        <v>5.7456</v>
      </c>
    </row>
    <row r="2347" spans="1:7" ht="25.5">
      <c r="A2347" s="173" t="s">
        <v>748</v>
      </c>
      <c r="B2347" s="174" t="s">
        <v>749</v>
      </c>
      <c r="C2347" s="175" t="s">
        <v>73</v>
      </c>
      <c r="D2347" s="175" t="s">
        <v>71</v>
      </c>
      <c r="E2347" s="434">
        <v>1.05</v>
      </c>
      <c r="F2347" s="435">
        <v>5.64</v>
      </c>
      <c r="G2347" s="436">
        <f t="shared" si="28"/>
        <v>5.922</v>
      </c>
    </row>
    <row r="2348" spans="1:7" ht="12.75">
      <c r="A2348" s="783" t="s">
        <v>439</v>
      </c>
      <c r="B2348" s="784"/>
      <c r="C2348" s="784"/>
      <c r="D2348" s="784"/>
      <c r="E2348" s="784"/>
      <c r="F2348" s="784"/>
      <c r="G2348" s="440">
        <f>ROUNDUP(SUM(G2345:G2346),2)</f>
        <v>10.64</v>
      </c>
    </row>
    <row r="2349" spans="1:7" ht="12.75">
      <c r="A2349" s="783" t="s">
        <v>440</v>
      </c>
      <c r="B2349" s="784"/>
      <c r="C2349" s="784"/>
      <c r="D2349" s="784"/>
      <c r="E2349" s="784"/>
      <c r="F2349" s="784"/>
      <c r="G2349" s="440">
        <f>ROUNDUP(SUM(G2342:G2344),2)+G2347</f>
        <v>7.151999999999999</v>
      </c>
    </row>
    <row r="2350" spans="1:7" ht="12.75">
      <c r="A2350" s="783" t="s">
        <v>441</v>
      </c>
      <c r="B2350" s="784"/>
      <c r="C2350" s="784"/>
      <c r="D2350" s="784"/>
      <c r="E2350" s="784"/>
      <c r="F2350" s="784"/>
      <c r="G2350" s="440">
        <f>SUM(G2348:G2349)</f>
        <v>17.792</v>
      </c>
    </row>
    <row r="2351" spans="1:7" ht="12.75">
      <c r="A2351" s="783" t="s">
        <v>442</v>
      </c>
      <c r="B2351" s="784"/>
      <c r="C2351" s="784"/>
      <c r="D2351" s="784"/>
      <c r="E2351" s="784"/>
      <c r="F2351" s="784"/>
      <c r="G2351" s="440">
        <f>G2348*85.16%</f>
        <v>9.061024</v>
      </c>
    </row>
    <row r="2352" spans="1:7" ht="12.75">
      <c r="A2352" s="783" t="s">
        <v>443</v>
      </c>
      <c r="B2352" s="784"/>
      <c r="C2352" s="784"/>
      <c r="D2352" s="784"/>
      <c r="E2352" s="784"/>
      <c r="F2352" s="784"/>
      <c r="G2352" s="440">
        <f>G2351</f>
        <v>9.061024</v>
      </c>
    </row>
    <row r="2353" spans="1:7" ht="12.75">
      <c r="A2353" s="785" t="s">
        <v>444</v>
      </c>
      <c r="B2353" s="786"/>
      <c r="C2353" s="786"/>
      <c r="D2353" s="786"/>
      <c r="E2353" s="786"/>
      <c r="F2353" s="787"/>
      <c r="G2353" s="440">
        <f>G2349</f>
        <v>7.151999999999999</v>
      </c>
    </row>
    <row r="2354" spans="1:7" ht="12.75">
      <c r="A2354" s="785" t="s">
        <v>445</v>
      </c>
      <c r="B2354" s="786"/>
      <c r="C2354" s="786"/>
      <c r="D2354" s="786"/>
      <c r="E2354" s="786"/>
      <c r="F2354" s="787"/>
      <c r="G2354" s="440">
        <f>G2348+G2352</f>
        <v>19.701024</v>
      </c>
    </row>
    <row r="2355" spans="1:7" ht="12.75">
      <c r="A2355" s="785" t="s">
        <v>446</v>
      </c>
      <c r="B2355" s="786"/>
      <c r="C2355" s="786"/>
      <c r="D2355" s="786"/>
      <c r="E2355" s="786"/>
      <c r="F2355" s="787"/>
      <c r="G2355" s="440">
        <f>SUM(G2353:G2354)</f>
        <v>26.853023999999998</v>
      </c>
    </row>
    <row r="2356" spans="1:7" ht="12.75">
      <c r="A2356" s="796"/>
      <c r="B2356" s="797"/>
      <c r="C2356" s="797"/>
      <c r="D2356" s="797"/>
      <c r="E2356" s="797"/>
      <c r="F2356" s="797"/>
      <c r="G2356" s="798"/>
    </row>
    <row r="2357" spans="1:7" ht="12.75">
      <c r="A2357" s="597" t="s">
        <v>1752</v>
      </c>
      <c r="B2357" s="595"/>
      <c r="C2357" s="595"/>
      <c r="D2357" s="595"/>
      <c r="E2357" s="595"/>
      <c r="F2357" s="595"/>
      <c r="G2357" s="596"/>
    </row>
    <row r="2358" spans="1:7" ht="63.75">
      <c r="A2358" s="171" t="s">
        <v>750</v>
      </c>
      <c r="B2358" s="182" t="s">
        <v>751</v>
      </c>
      <c r="C2358" s="172" t="s">
        <v>72</v>
      </c>
      <c r="D2358" s="172" t="s">
        <v>71</v>
      </c>
      <c r="E2358" s="373"/>
      <c r="F2358" s="374"/>
      <c r="G2358" s="375"/>
    </row>
    <row r="2359" spans="1:7" ht="25.5">
      <c r="A2359" s="173" t="s">
        <v>577</v>
      </c>
      <c r="B2359" s="174" t="s">
        <v>578</v>
      </c>
      <c r="C2359" s="175" t="s">
        <v>73</v>
      </c>
      <c r="D2359" s="175" t="s">
        <v>75</v>
      </c>
      <c r="E2359" s="434">
        <v>0.0247</v>
      </c>
      <c r="F2359" s="435">
        <v>41.55</v>
      </c>
      <c r="G2359" s="436">
        <f aca="true" t="shared" si="29" ref="G2359:G2364">E2359*F2359</f>
        <v>1.026285</v>
      </c>
    </row>
    <row r="2360" spans="1:7" ht="25.5">
      <c r="A2360" s="173" t="s">
        <v>579</v>
      </c>
      <c r="B2360" s="174" t="s">
        <v>580</v>
      </c>
      <c r="C2360" s="175" t="s">
        <v>73</v>
      </c>
      <c r="D2360" s="175" t="s">
        <v>75</v>
      </c>
      <c r="E2360" s="434">
        <v>0.0385</v>
      </c>
      <c r="F2360" s="435">
        <v>36.08</v>
      </c>
      <c r="G2360" s="436">
        <f t="shared" si="29"/>
        <v>1.3890799999999999</v>
      </c>
    </row>
    <row r="2361" spans="1:7" ht="12.75">
      <c r="A2361" s="173" t="s">
        <v>583</v>
      </c>
      <c r="B2361" s="174" t="s">
        <v>584</v>
      </c>
      <c r="C2361" s="175" t="s">
        <v>73</v>
      </c>
      <c r="D2361" s="175" t="s">
        <v>75</v>
      </c>
      <c r="E2361" s="434">
        <v>0.187</v>
      </c>
      <c r="F2361" s="435">
        <v>1.52</v>
      </c>
      <c r="G2361" s="436">
        <f t="shared" si="29"/>
        <v>0.28424</v>
      </c>
    </row>
    <row r="2362" spans="1:7" ht="38.25">
      <c r="A2362" s="173" t="s">
        <v>492</v>
      </c>
      <c r="B2362" s="174" t="s">
        <v>493</v>
      </c>
      <c r="C2362" s="175" t="s">
        <v>72</v>
      </c>
      <c r="D2362" s="175" t="s">
        <v>77</v>
      </c>
      <c r="E2362" s="434">
        <v>0.56</v>
      </c>
      <c r="F2362" s="435">
        <v>12.86</v>
      </c>
      <c r="G2362" s="436">
        <f t="shared" si="29"/>
        <v>7.2016</v>
      </c>
    </row>
    <row r="2363" spans="1:7" ht="25.5">
      <c r="A2363" s="173" t="s">
        <v>494</v>
      </c>
      <c r="B2363" s="174" t="s">
        <v>495</v>
      </c>
      <c r="C2363" s="175" t="s">
        <v>72</v>
      </c>
      <c r="D2363" s="175" t="s">
        <v>77</v>
      </c>
      <c r="E2363" s="434">
        <v>0.56</v>
      </c>
      <c r="F2363" s="435">
        <v>15.12</v>
      </c>
      <c r="G2363" s="436">
        <f t="shared" si="29"/>
        <v>8.4672</v>
      </c>
    </row>
    <row r="2364" spans="1:7" ht="25.5">
      <c r="A2364" s="173" t="s">
        <v>752</v>
      </c>
      <c r="B2364" s="174" t="s">
        <v>753</v>
      </c>
      <c r="C2364" s="175" t="s">
        <v>73</v>
      </c>
      <c r="D2364" s="175" t="s">
        <v>71</v>
      </c>
      <c r="E2364" s="434">
        <v>1.05</v>
      </c>
      <c r="F2364" s="435">
        <v>7.63</v>
      </c>
      <c r="G2364" s="436">
        <f t="shared" si="29"/>
        <v>8.0115</v>
      </c>
    </row>
    <row r="2365" spans="1:7" ht="12.75">
      <c r="A2365" s="783" t="s">
        <v>439</v>
      </c>
      <c r="B2365" s="784"/>
      <c r="C2365" s="784"/>
      <c r="D2365" s="784"/>
      <c r="E2365" s="784"/>
      <c r="F2365" s="784"/>
      <c r="G2365" s="440">
        <f>ROUNDUP(SUM(G2362:G2363),2)</f>
        <v>15.67</v>
      </c>
    </row>
    <row r="2366" spans="1:7" ht="12.75">
      <c r="A2366" s="783" t="s">
        <v>440</v>
      </c>
      <c r="B2366" s="784"/>
      <c r="C2366" s="784"/>
      <c r="D2366" s="784"/>
      <c r="E2366" s="784"/>
      <c r="F2366" s="784"/>
      <c r="G2366" s="440">
        <f>ROUNDUP(SUM(G2359:G2361),2)+G2364</f>
        <v>10.7115</v>
      </c>
    </row>
    <row r="2367" spans="1:7" ht="12.75">
      <c r="A2367" s="783" t="s">
        <v>441</v>
      </c>
      <c r="B2367" s="784"/>
      <c r="C2367" s="784"/>
      <c r="D2367" s="784"/>
      <c r="E2367" s="784"/>
      <c r="F2367" s="784"/>
      <c r="G2367" s="440">
        <f>SUM(G2365:G2366)</f>
        <v>26.3815</v>
      </c>
    </row>
    <row r="2368" spans="1:7" ht="12.75">
      <c r="A2368" s="783" t="s">
        <v>442</v>
      </c>
      <c r="B2368" s="784"/>
      <c r="C2368" s="784"/>
      <c r="D2368" s="784"/>
      <c r="E2368" s="784"/>
      <c r="F2368" s="784"/>
      <c r="G2368" s="440">
        <f>G2365*85.16%</f>
        <v>13.344572</v>
      </c>
    </row>
    <row r="2369" spans="1:7" ht="12.75">
      <c r="A2369" s="783" t="s">
        <v>443</v>
      </c>
      <c r="B2369" s="784"/>
      <c r="C2369" s="784"/>
      <c r="D2369" s="784"/>
      <c r="E2369" s="784"/>
      <c r="F2369" s="784"/>
      <c r="G2369" s="440">
        <f>G2368</f>
        <v>13.344572</v>
      </c>
    </row>
    <row r="2370" spans="1:7" ht="12.75">
      <c r="A2370" s="785" t="s">
        <v>444</v>
      </c>
      <c r="B2370" s="786"/>
      <c r="C2370" s="786"/>
      <c r="D2370" s="786"/>
      <c r="E2370" s="786"/>
      <c r="F2370" s="787"/>
      <c r="G2370" s="440">
        <f>G2366</f>
        <v>10.7115</v>
      </c>
    </row>
    <row r="2371" spans="1:7" ht="12.75">
      <c r="A2371" s="785" t="s">
        <v>445</v>
      </c>
      <c r="B2371" s="786"/>
      <c r="C2371" s="786"/>
      <c r="D2371" s="786"/>
      <c r="E2371" s="786"/>
      <c r="F2371" s="787"/>
      <c r="G2371" s="440">
        <f>G2365+G2369</f>
        <v>29.014572</v>
      </c>
    </row>
    <row r="2372" spans="1:7" ht="12.75">
      <c r="A2372" s="785" t="s">
        <v>446</v>
      </c>
      <c r="B2372" s="786"/>
      <c r="C2372" s="786"/>
      <c r="D2372" s="786"/>
      <c r="E2372" s="786"/>
      <c r="F2372" s="787"/>
      <c r="G2372" s="440">
        <f>SUM(G2370:G2371)</f>
        <v>39.726072</v>
      </c>
    </row>
    <row r="2373" spans="1:7" ht="12.75">
      <c r="A2373" s="796"/>
      <c r="B2373" s="797"/>
      <c r="C2373" s="797"/>
      <c r="D2373" s="797"/>
      <c r="E2373" s="797"/>
      <c r="F2373" s="797"/>
      <c r="G2373" s="798"/>
    </row>
    <row r="2374" spans="1:7" ht="12.75">
      <c r="A2374" s="804"/>
      <c r="B2374" s="805"/>
      <c r="C2374" s="805"/>
      <c r="D2374" s="805"/>
      <c r="E2374" s="805"/>
      <c r="F2374" s="805"/>
      <c r="G2374" s="806"/>
    </row>
    <row r="2375" spans="1:7" ht="12.75">
      <c r="A2375" s="597" t="s">
        <v>1753</v>
      </c>
      <c r="B2375" s="595"/>
      <c r="C2375" s="595"/>
      <c r="D2375" s="595"/>
      <c r="E2375" s="595"/>
      <c r="F2375" s="595"/>
      <c r="G2375" s="596"/>
    </row>
    <row r="2376" spans="1:7" ht="63.75">
      <c r="A2376" s="171" t="s">
        <v>754</v>
      </c>
      <c r="B2376" s="182" t="s">
        <v>755</v>
      </c>
      <c r="C2376" s="172" t="s">
        <v>72</v>
      </c>
      <c r="D2376" s="172" t="s">
        <v>71</v>
      </c>
      <c r="E2376" s="373"/>
      <c r="F2376" s="374"/>
      <c r="G2376" s="375"/>
    </row>
    <row r="2377" spans="1:7" ht="25.5">
      <c r="A2377" s="173" t="s">
        <v>577</v>
      </c>
      <c r="B2377" s="174" t="s">
        <v>578</v>
      </c>
      <c r="C2377" s="175" t="s">
        <v>73</v>
      </c>
      <c r="D2377" s="175" t="s">
        <v>75</v>
      </c>
      <c r="E2377" s="434">
        <v>0.0363</v>
      </c>
      <c r="F2377" s="435">
        <v>41.55</v>
      </c>
      <c r="G2377" s="436">
        <f aca="true" t="shared" si="30" ref="G2377:G2382">E2377*F2377</f>
        <v>1.5082649999999997</v>
      </c>
    </row>
    <row r="2378" spans="1:7" ht="25.5">
      <c r="A2378" s="173" t="s">
        <v>579</v>
      </c>
      <c r="B2378" s="174" t="s">
        <v>580</v>
      </c>
      <c r="C2378" s="175" t="s">
        <v>73</v>
      </c>
      <c r="D2378" s="175" t="s">
        <v>75</v>
      </c>
      <c r="E2378" s="434">
        <v>0.0593</v>
      </c>
      <c r="F2378" s="435">
        <v>36.08</v>
      </c>
      <c r="G2378" s="436">
        <f t="shared" si="30"/>
        <v>2.139544</v>
      </c>
    </row>
    <row r="2379" spans="1:7" ht="12.75">
      <c r="A2379" s="173" t="s">
        <v>583</v>
      </c>
      <c r="B2379" s="174" t="s">
        <v>584</v>
      </c>
      <c r="C2379" s="175" t="s">
        <v>73</v>
      </c>
      <c r="D2379" s="175" t="s">
        <v>75</v>
      </c>
      <c r="E2379" s="434">
        <v>0.247</v>
      </c>
      <c r="F2379" s="435">
        <v>1.52</v>
      </c>
      <c r="G2379" s="436">
        <f t="shared" si="30"/>
        <v>0.37544</v>
      </c>
    </row>
    <row r="2380" spans="1:7" ht="38.25">
      <c r="A2380" s="173" t="s">
        <v>492</v>
      </c>
      <c r="B2380" s="174" t="s">
        <v>493</v>
      </c>
      <c r="C2380" s="175" t="s">
        <v>72</v>
      </c>
      <c r="D2380" s="175" t="s">
        <v>77</v>
      </c>
      <c r="E2380" s="434">
        <v>0.74</v>
      </c>
      <c r="F2380" s="435">
        <v>12.86</v>
      </c>
      <c r="G2380" s="436">
        <f t="shared" si="30"/>
        <v>9.516399999999999</v>
      </c>
    </row>
    <row r="2381" spans="1:7" ht="25.5">
      <c r="A2381" s="173" t="s">
        <v>494</v>
      </c>
      <c r="B2381" s="174" t="s">
        <v>495</v>
      </c>
      <c r="C2381" s="175" t="s">
        <v>72</v>
      </c>
      <c r="D2381" s="175" t="s">
        <v>77</v>
      </c>
      <c r="E2381" s="434">
        <v>0.74</v>
      </c>
      <c r="F2381" s="435">
        <v>15.12</v>
      </c>
      <c r="G2381" s="436">
        <f t="shared" si="30"/>
        <v>11.188799999999999</v>
      </c>
    </row>
    <row r="2382" spans="1:7" ht="25.5">
      <c r="A2382" s="173" t="s">
        <v>756</v>
      </c>
      <c r="B2382" s="174" t="s">
        <v>757</v>
      </c>
      <c r="C2382" s="175" t="s">
        <v>73</v>
      </c>
      <c r="D2382" s="175" t="s">
        <v>71</v>
      </c>
      <c r="E2382" s="434">
        <v>1.05</v>
      </c>
      <c r="F2382" s="435">
        <v>8.67</v>
      </c>
      <c r="G2382" s="436">
        <f t="shared" si="30"/>
        <v>9.1035</v>
      </c>
    </row>
    <row r="2383" spans="1:7" ht="12.75">
      <c r="A2383" s="783" t="s">
        <v>439</v>
      </c>
      <c r="B2383" s="784"/>
      <c r="C2383" s="784"/>
      <c r="D2383" s="784"/>
      <c r="E2383" s="784"/>
      <c r="F2383" s="784"/>
      <c r="G2383" s="440">
        <f>ROUNDUP(SUM(G2380:G2381),2)</f>
        <v>20.71</v>
      </c>
    </row>
    <row r="2384" spans="1:7" ht="12.75">
      <c r="A2384" s="783" t="s">
        <v>440</v>
      </c>
      <c r="B2384" s="784"/>
      <c r="C2384" s="784"/>
      <c r="D2384" s="784"/>
      <c r="E2384" s="784"/>
      <c r="F2384" s="784"/>
      <c r="G2384" s="440">
        <f>ROUNDUP(SUM(G2377:G2379),2)+G2382</f>
        <v>13.1335</v>
      </c>
    </row>
    <row r="2385" spans="1:7" ht="12.75">
      <c r="A2385" s="783" t="s">
        <v>441</v>
      </c>
      <c r="B2385" s="784"/>
      <c r="C2385" s="784"/>
      <c r="D2385" s="784"/>
      <c r="E2385" s="784"/>
      <c r="F2385" s="784"/>
      <c r="G2385" s="440">
        <f>SUM(G2383:G2384)</f>
        <v>33.8435</v>
      </c>
    </row>
    <row r="2386" spans="1:7" ht="12.75">
      <c r="A2386" s="783" t="s">
        <v>442</v>
      </c>
      <c r="B2386" s="784"/>
      <c r="C2386" s="784"/>
      <c r="D2386" s="784"/>
      <c r="E2386" s="784"/>
      <c r="F2386" s="784"/>
      <c r="G2386" s="440">
        <f>G2383*85.16%</f>
        <v>17.636636</v>
      </c>
    </row>
    <row r="2387" spans="1:7" ht="12.75">
      <c r="A2387" s="783" t="s">
        <v>443</v>
      </c>
      <c r="B2387" s="784"/>
      <c r="C2387" s="784"/>
      <c r="D2387" s="784"/>
      <c r="E2387" s="784"/>
      <c r="F2387" s="784"/>
      <c r="G2387" s="440">
        <f>G2386</f>
        <v>17.636636</v>
      </c>
    </row>
    <row r="2388" spans="1:7" ht="12.75">
      <c r="A2388" s="785" t="s">
        <v>444</v>
      </c>
      <c r="B2388" s="786"/>
      <c r="C2388" s="786"/>
      <c r="D2388" s="786"/>
      <c r="E2388" s="786"/>
      <c r="F2388" s="787"/>
      <c r="G2388" s="440">
        <f>G2384</f>
        <v>13.1335</v>
      </c>
    </row>
    <row r="2389" spans="1:7" ht="12.75">
      <c r="A2389" s="785" t="s">
        <v>445</v>
      </c>
      <c r="B2389" s="786"/>
      <c r="C2389" s="786"/>
      <c r="D2389" s="786"/>
      <c r="E2389" s="786"/>
      <c r="F2389" s="787"/>
      <c r="G2389" s="440">
        <f>G2383+G2387</f>
        <v>38.346636000000004</v>
      </c>
    </row>
    <row r="2390" spans="1:7" ht="12.75">
      <c r="A2390" s="785" t="s">
        <v>446</v>
      </c>
      <c r="B2390" s="786"/>
      <c r="C2390" s="786"/>
      <c r="D2390" s="786"/>
      <c r="E2390" s="786"/>
      <c r="F2390" s="787"/>
      <c r="G2390" s="440">
        <f>SUM(G2388:G2389)</f>
        <v>51.480136</v>
      </c>
    </row>
    <row r="2391" spans="1:7" ht="12.75">
      <c r="A2391" s="796"/>
      <c r="B2391" s="797"/>
      <c r="C2391" s="797"/>
      <c r="D2391" s="797"/>
      <c r="E2391" s="797"/>
      <c r="F2391" s="797"/>
      <c r="G2391" s="798"/>
    </row>
    <row r="2392" spans="1:7" ht="12.75">
      <c r="A2392" s="804"/>
      <c r="B2392" s="805"/>
      <c r="C2392" s="805"/>
      <c r="D2392" s="805"/>
      <c r="E2392" s="805"/>
      <c r="F2392" s="805"/>
      <c r="G2392" s="806"/>
    </row>
    <row r="2393" spans="1:7" ht="12.75">
      <c r="A2393" s="597" t="s">
        <v>1543</v>
      </c>
      <c r="B2393" s="597" t="s">
        <v>1544</v>
      </c>
      <c r="C2393" s="595"/>
      <c r="D2393" s="595"/>
      <c r="E2393" s="595"/>
      <c r="F2393" s="595"/>
      <c r="G2393" s="596"/>
    </row>
    <row r="2394" spans="1:7" ht="12.75">
      <c r="A2394" s="597" t="s">
        <v>1546</v>
      </c>
      <c r="B2394" s="597" t="s">
        <v>1545</v>
      </c>
      <c r="C2394" s="595"/>
      <c r="D2394" s="595"/>
      <c r="E2394" s="595"/>
      <c r="F2394" s="595"/>
      <c r="G2394" s="596"/>
    </row>
    <row r="2395" spans="1:7" ht="12.75">
      <c r="A2395" s="597" t="s">
        <v>1774</v>
      </c>
      <c r="B2395" s="597" t="s">
        <v>1775</v>
      </c>
      <c r="C2395" s="595"/>
      <c r="D2395" s="595"/>
      <c r="E2395" s="595"/>
      <c r="F2395" s="595"/>
      <c r="G2395" s="596"/>
    </row>
    <row r="2396" spans="1:7" ht="12.75">
      <c r="A2396" s="597" t="s">
        <v>1776</v>
      </c>
      <c r="B2396" s="597"/>
      <c r="C2396" s="595"/>
      <c r="D2396" s="595"/>
      <c r="E2396" s="595"/>
      <c r="F2396" s="595"/>
      <c r="G2396" s="596"/>
    </row>
    <row r="2397" spans="1:7" ht="63.75">
      <c r="A2397" s="171" t="s">
        <v>723</v>
      </c>
      <c r="B2397" s="182" t="s">
        <v>724</v>
      </c>
      <c r="C2397" s="172" t="s">
        <v>72</v>
      </c>
      <c r="D2397" s="172" t="s">
        <v>75</v>
      </c>
      <c r="E2397" s="373"/>
      <c r="F2397" s="374"/>
      <c r="G2397" s="375"/>
    </row>
    <row r="2398" spans="1:7" ht="25.5">
      <c r="A2398" s="173" t="s">
        <v>725</v>
      </c>
      <c r="B2398" s="174" t="s">
        <v>726</v>
      </c>
      <c r="C2398" s="175" t="s">
        <v>73</v>
      </c>
      <c r="D2398" s="175" t="s">
        <v>75</v>
      </c>
      <c r="E2398" s="434">
        <v>1</v>
      </c>
      <c r="F2398" s="435">
        <v>43.19</v>
      </c>
      <c r="G2398" s="436">
        <f aca="true" t="shared" si="31" ref="G2398:G2403">E2398*F2398</f>
        <v>43.19</v>
      </c>
    </row>
    <row r="2399" spans="1:7" ht="25.5">
      <c r="A2399" s="173" t="s">
        <v>577</v>
      </c>
      <c r="B2399" s="174" t="s">
        <v>578</v>
      </c>
      <c r="C2399" s="175" t="s">
        <v>73</v>
      </c>
      <c r="D2399" s="175" t="s">
        <v>75</v>
      </c>
      <c r="E2399" s="434">
        <v>0.0148</v>
      </c>
      <c r="F2399" s="435">
        <v>41.55</v>
      </c>
      <c r="G2399" s="436">
        <f t="shared" si="31"/>
        <v>0.6149399999999999</v>
      </c>
    </row>
    <row r="2400" spans="1:7" ht="51">
      <c r="A2400" s="173" t="s">
        <v>639</v>
      </c>
      <c r="B2400" s="174" t="s">
        <v>640</v>
      </c>
      <c r="C2400" s="175" t="s">
        <v>73</v>
      </c>
      <c r="D2400" s="175" t="s">
        <v>75</v>
      </c>
      <c r="E2400" s="434">
        <v>0.03</v>
      </c>
      <c r="F2400" s="435">
        <v>15.21</v>
      </c>
      <c r="G2400" s="436">
        <f t="shared" si="31"/>
        <v>0.4563</v>
      </c>
    </row>
    <row r="2401" spans="1:7" ht="25.5">
      <c r="A2401" s="173" t="s">
        <v>579</v>
      </c>
      <c r="B2401" s="174" t="s">
        <v>580</v>
      </c>
      <c r="C2401" s="175" t="s">
        <v>73</v>
      </c>
      <c r="D2401" s="175" t="s">
        <v>75</v>
      </c>
      <c r="E2401" s="434">
        <v>0.0225</v>
      </c>
      <c r="F2401" s="435">
        <v>36.08</v>
      </c>
      <c r="G2401" s="436">
        <f t="shared" si="31"/>
        <v>0.8118</v>
      </c>
    </row>
    <row r="2402" spans="1:7" ht="25.5">
      <c r="A2402" s="173" t="s">
        <v>651</v>
      </c>
      <c r="B2402" s="174" t="s">
        <v>652</v>
      </c>
      <c r="C2402" s="175" t="s">
        <v>73</v>
      </c>
      <c r="D2402" s="175" t="s">
        <v>75</v>
      </c>
      <c r="E2402" s="434">
        <v>1</v>
      </c>
      <c r="F2402" s="435">
        <v>1.39</v>
      </c>
      <c r="G2402" s="436">
        <f t="shared" si="31"/>
        <v>1.39</v>
      </c>
    </row>
    <row r="2403" spans="1:7" ht="12.75">
      <c r="A2403" s="173" t="s">
        <v>583</v>
      </c>
      <c r="B2403" s="174" t="s">
        <v>584</v>
      </c>
      <c r="C2403" s="175" t="s">
        <v>73</v>
      </c>
      <c r="D2403" s="175" t="s">
        <v>75</v>
      </c>
      <c r="E2403" s="434">
        <v>0.057</v>
      </c>
      <c r="F2403" s="435">
        <v>1.52</v>
      </c>
      <c r="G2403" s="436">
        <f t="shared" si="31"/>
        <v>0.08664000000000001</v>
      </c>
    </row>
    <row r="2404" spans="1:7" ht="38.25">
      <c r="A2404" s="173" t="s">
        <v>492</v>
      </c>
      <c r="B2404" s="174" t="s">
        <v>493</v>
      </c>
      <c r="C2404" s="175" t="s">
        <v>72</v>
      </c>
      <c r="D2404" s="175" t="s">
        <v>77</v>
      </c>
      <c r="E2404" s="434">
        <v>0.38</v>
      </c>
      <c r="F2404" s="435">
        <v>12.86</v>
      </c>
      <c r="G2404" s="436">
        <f>E2404*F2404</f>
        <v>4.8868</v>
      </c>
    </row>
    <row r="2405" spans="1:7" ht="25.5">
      <c r="A2405" s="173" t="s">
        <v>494</v>
      </c>
      <c r="B2405" s="174" t="s">
        <v>495</v>
      </c>
      <c r="C2405" s="175" t="s">
        <v>72</v>
      </c>
      <c r="D2405" s="175" t="s">
        <v>77</v>
      </c>
      <c r="E2405" s="434">
        <v>0.38</v>
      </c>
      <c r="F2405" s="435">
        <v>15.12</v>
      </c>
      <c r="G2405" s="436">
        <f>E2405*F2405</f>
        <v>5.7456</v>
      </c>
    </row>
    <row r="2406" spans="1:7" ht="12.75">
      <c r="A2406" s="783" t="s">
        <v>439</v>
      </c>
      <c r="B2406" s="784"/>
      <c r="C2406" s="784"/>
      <c r="D2406" s="784"/>
      <c r="E2406" s="784"/>
      <c r="F2406" s="784"/>
      <c r="G2406" s="440">
        <f>ROUNDUP(SUM(G2404:G2405),2)</f>
        <v>10.64</v>
      </c>
    </row>
    <row r="2407" spans="1:7" ht="12.75">
      <c r="A2407" s="783" t="s">
        <v>440</v>
      </c>
      <c r="B2407" s="784"/>
      <c r="C2407" s="784"/>
      <c r="D2407" s="784"/>
      <c r="E2407" s="784"/>
      <c r="F2407" s="784"/>
      <c r="G2407" s="440">
        <f>ROUNDUP(SUM(G2398:G2403),2)</f>
        <v>46.55</v>
      </c>
    </row>
    <row r="2408" spans="1:7" ht="12.75">
      <c r="A2408" s="783" t="s">
        <v>441</v>
      </c>
      <c r="B2408" s="784"/>
      <c r="C2408" s="784"/>
      <c r="D2408" s="784"/>
      <c r="E2408" s="784"/>
      <c r="F2408" s="784"/>
      <c r="G2408" s="440">
        <f>SUM(G2406:G2407)</f>
        <v>57.19</v>
      </c>
    </row>
    <row r="2409" spans="1:7" ht="12.75">
      <c r="A2409" s="783" t="s">
        <v>442</v>
      </c>
      <c r="B2409" s="784"/>
      <c r="C2409" s="784"/>
      <c r="D2409" s="784"/>
      <c r="E2409" s="784"/>
      <c r="F2409" s="784"/>
      <c r="G2409" s="440">
        <f>G2406*85.16%</f>
        <v>9.061024</v>
      </c>
    </row>
    <row r="2410" spans="1:7" ht="12.75">
      <c r="A2410" s="783" t="s">
        <v>443</v>
      </c>
      <c r="B2410" s="784"/>
      <c r="C2410" s="784"/>
      <c r="D2410" s="784"/>
      <c r="E2410" s="784"/>
      <c r="F2410" s="784"/>
      <c r="G2410" s="440">
        <f>G2409</f>
        <v>9.061024</v>
      </c>
    </row>
    <row r="2411" spans="1:7" ht="12.75">
      <c r="A2411" s="785" t="s">
        <v>444</v>
      </c>
      <c r="B2411" s="786"/>
      <c r="C2411" s="786"/>
      <c r="D2411" s="786"/>
      <c r="E2411" s="786"/>
      <c r="F2411" s="787"/>
      <c r="G2411" s="440">
        <f>G2407</f>
        <v>46.55</v>
      </c>
    </row>
    <row r="2412" spans="1:7" ht="12.75">
      <c r="A2412" s="785" t="s">
        <v>445</v>
      </c>
      <c r="B2412" s="786"/>
      <c r="C2412" s="786"/>
      <c r="D2412" s="786"/>
      <c r="E2412" s="786"/>
      <c r="F2412" s="787"/>
      <c r="G2412" s="440">
        <f>G2406+G2410</f>
        <v>19.701024</v>
      </c>
    </row>
    <row r="2413" spans="1:7" ht="12.75">
      <c r="A2413" s="785" t="s">
        <v>446</v>
      </c>
      <c r="B2413" s="786"/>
      <c r="C2413" s="786"/>
      <c r="D2413" s="786"/>
      <c r="E2413" s="786"/>
      <c r="F2413" s="787"/>
      <c r="G2413" s="440">
        <f>SUM(G2411:G2412)</f>
        <v>66.251024</v>
      </c>
    </row>
    <row r="2414" spans="1:7" ht="12.75">
      <c r="A2414" s="796"/>
      <c r="B2414" s="797"/>
      <c r="C2414" s="797"/>
      <c r="D2414" s="797"/>
      <c r="E2414" s="797"/>
      <c r="F2414" s="797"/>
      <c r="G2414" s="798"/>
    </row>
    <row r="2415" spans="1:7" ht="12.75">
      <c r="A2415" s="804"/>
      <c r="B2415" s="805"/>
      <c r="C2415" s="805"/>
      <c r="D2415" s="805"/>
      <c r="E2415" s="805"/>
      <c r="F2415" s="805"/>
      <c r="G2415" s="806"/>
    </row>
    <row r="2416" spans="1:7" ht="12.75">
      <c r="A2416" s="707" t="s">
        <v>1777</v>
      </c>
      <c r="B2416" s="595"/>
      <c r="C2416" s="595"/>
      <c r="D2416" s="595"/>
      <c r="E2416" s="595"/>
      <c r="F2416" s="595"/>
      <c r="G2416" s="596"/>
    </row>
    <row r="2417" spans="1:7" ht="25.5">
      <c r="A2417" s="171" t="s">
        <v>758</v>
      </c>
      <c r="B2417" s="182" t="s">
        <v>759</v>
      </c>
      <c r="C2417" s="172" t="s">
        <v>72</v>
      </c>
      <c r="D2417" s="172" t="s">
        <v>75</v>
      </c>
      <c r="E2417" s="373"/>
      <c r="F2417" s="374"/>
      <c r="G2417" s="375"/>
    </row>
    <row r="2418" spans="1:7" ht="25.5">
      <c r="A2418" s="173" t="s">
        <v>760</v>
      </c>
      <c r="B2418" s="174" t="s">
        <v>761</v>
      </c>
      <c r="C2418" s="175" t="s">
        <v>73</v>
      </c>
      <c r="D2418" s="175" t="s">
        <v>75</v>
      </c>
      <c r="E2418" s="434">
        <v>1</v>
      </c>
      <c r="F2418" s="435">
        <v>22.63</v>
      </c>
      <c r="G2418" s="436">
        <f>E2418*F2418</f>
        <v>22.63</v>
      </c>
    </row>
    <row r="2419" spans="1:7" ht="25.5">
      <c r="A2419" s="173" t="s">
        <v>762</v>
      </c>
      <c r="B2419" s="174" t="s">
        <v>763</v>
      </c>
      <c r="C2419" s="175" t="s">
        <v>73</v>
      </c>
      <c r="D2419" s="175" t="s">
        <v>75</v>
      </c>
      <c r="E2419" s="434">
        <v>1</v>
      </c>
      <c r="F2419" s="435">
        <v>9.9</v>
      </c>
      <c r="G2419" s="436">
        <f>E2419*F2419</f>
        <v>9.9</v>
      </c>
    </row>
    <row r="2420" spans="1:7" ht="38.25">
      <c r="A2420" s="173" t="s">
        <v>492</v>
      </c>
      <c r="B2420" s="174" t="s">
        <v>493</v>
      </c>
      <c r="C2420" s="175" t="s">
        <v>72</v>
      </c>
      <c r="D2420" s="175" t="s">
        <v>77</v>
      </c>
      <c r="E2420" s="434">
        <v>0.33</v>
      </c>
      <c r="F2420" s="435">
        <v>12.86</v>
      </c>
      <c r="G2420" s="436">
        <f>E2420*F2420</f>
        <v>4.2438</v>
      </c>
    </row>
    <row r="2421" spans="1:7" ht="25.5">
      <c r="A2421" s="173" t="s">
        <v>494</v>
      </c>
      <c r="B2421" s="174" t="s">
        <v>495</v>
      </c>
      <c r="C2421" s="175" t="s">
        <v>72</v>
      </c>
      <c r="D2421" s="175" t="s">
        <v>77</v>
      </c>
      <c r="E2421" s="434">
        <v>0.33</v>
      </c>
      <c r="F2421" s="435">
        <v>15.12</v>
      </c>
      <c r="G2421" s="436">
        <f>E2421*F2421</f>
        <v>4.9896</v>
      </c>
    </row>
    <row r="2422" spans="1:7" ht="12.75">
      <c r="A2422" s="783" t="s">
        <v>439</v>
      </c>
      <c r="B2422" s="784"/>
      <c r="C2422" s="784"/>
      <c r="D2422" s="784"/>
      <c r="E2422" s="784"/>
      <c r="F2422" s="784"/>
      <c r="G2422" s="440">
        <f>ROUNDUP(SUM(G2420:G2421),2)</f>
        <v>9.24</v>
      </c>
    </row>
    <row r="2423" spans="1:7" ht="12.75">
      <c r="A2423" s="783" t="s">
        <v>440</v>
      </c>
      <c r="B2423" s="784"/>
      <c r="C2423" s="784"/>
      <c r="D2423" s="784"/>
      <c r="E2423" s="784"/>
      <c r="F2423" s="784"/>
      <c r="G2423" s="440">
        <f>ROUNDUP(SUM(G2418:G2419),2)</f>
        <v>32.53</v>
      </c>
    </row>
    <row r="2424" spans="1:7" ht="12.75">
      <c r="A2424" s="783" t="s">
        <v>441</v>
      </c>
      <c r="B2424" s="784"/>
      <c r="C2424" s="784"/>
      <c r="D2424" s="784"/>
      <c r="E2424" s="784"/>
      <c r="F2424" s="784"/>
      <c r="G2424" s="440">
        <f>SUM(G2422:G2423)</f>
        <v>41.77</v>
      </c>
    </row>
    <row r="2425" spans="1:7" ht="12.75">
      <c r="A2425" s="783" t="s">
        <v>442</v>
      </c>
      <c r="B2425" s="784"/>
      <c r="C2425" s="784"/>
      <c r="D2425" s="784"/>
      <c r="E2425" s="784"/>
      <c r="F2425" s="784"/>
      <c r="G2425" s="440">
        <f>G2422*85.16%</f>
        <v>7.868784</v>
      </c>
    </row>
    <row r="2426" spans="1:7" ht="12.75">
      <c r="A2426" s="783" t="s">
        <v>443</v>
      </c>
      <c r="B2426" s="784"/>
      <c r="C2426" s="784"/>
      <c r="D2426" s="784"/>
      <c r="E2426" s="784"/>
      <c r="F2426" s="784"/>
      <c r="G2426" s="440">
        <f>G2425</f>
        <v>7.868784</v>
      </c>
    </row>
    <row r="2427" spans="1:7" ht="12.75">
      <c r="A2427" s="785" t="s">
        <v>444</v>
      </c>
      <c r="B2427" s="786"/>
      <c r="C2427" s="786"/>
      <c r="D2427" s="786"/>
      <c r="E2427" s="786"/>
      <c r="F2427" s="787"/>
      <c r="G2427" s="440">
        <f>G2423</f>
        <v>32.53</v>
      </c>
    </row>
    <row r="2428" spans="1:7" ht="12.75">
      <c r="A2428" s="785" t="s">
        <v>445</v>
      </c>
      <c r="B2428" s="786"/>
      <c r="C2428" s="786"/>
      <c r="D2428" s="786"/>
      <c r="E2428" s="786"/>
      <c r="F2428" s="787"/>
      <c r="G2428" s="440">
        <f>G2422+G2426</f>
        <v>17.108784</v>
      </c>
    </row>
    <row r="2429" spans="1:7" ht="12.75">
      <c r="A2429" s="785" t="s">
        <v>446</v>
      </c>
      <c r="B2429" s="786"/>
      <c r="C2429" s="786"/>
      <c r="D2429" s="786"/>
      <c r="E2429" s="786"/>
      <c r="F2429" s="787"/>
      <c r="G2429" s="440">
        <f>SUM(G2427:G2428)</f>
        <v>49.638784</v>
      </c>
    </row>
    <row r="2430" spans="1:7" ht="12.75">
      <c r="A2430" s="796"/>
      <c r="B2430" s="797"/>
      <c r="C2430" s="797"/>
      <c r="D2430" s="797"/>
      <c r="E2430" s="797"/>
      <c r="F2430" s="797"/>
      <c r="G2430" s="798"/>
    </row>
    <row r="2431" spans="1:7" ht="12.75">
      <c r="A2431" s="491" t="s">
        <v>83</v>
      </c>
      <c r="B2431" s="799" t="s">
        <v>574</v>
      </c>
      <c r="C2431" s="799"/>
      <c r="D2431" s="799"/>
      <c r="E2431" s="799"/>
      <c r="F2431" s="799"/>
      <c r="G2431" s="800"/>
    </row>
    <row r="2432" spans="1:7" ht="12.75">
      <c r="A2432" s="804"/>
      <c r="B2432" s="805"/>
      <c r="C2432" s="805"/>
      <c r="D2432" s="805"/>
      <c r="E2432" s="805"/>
      <c r="F2432" s="805"/>
      <c r="G2432" s="806"/>
    </row>
    <row r="2433" spans="1:7" ht="12.75">
      <c r="A2433" s="594"/>
      <c r="B2433" s="595"/>
      <c r="C2433" s="595"/>
      <c r="D2433" s="595"/>
      <c r="E2433" s="595"/>
      <c r="F2433" s="595"/>
      <c r="G2433" s="596"/>
    </row>
    <row r="2434" spans="1:7" ht="12.75">
      <c r="A2434" s="594"/>
      <c r="B2434" s="595"/>
      <c r="C2434" s="595"/>
      <c r="D2434" s="595"/>
      <c r="E2434" s="595"/>
      <c r="F2434" s="595"/>
      <c r="G2434" s="596"/>
    </row>
    <row r="2435" spans="1:7" ht="12.75">
      <c r="A2435" s="597" t="s">
        <v>1548</v>
      </c>
      <c r="B2435" s="597" t="s">
        <v>1530</v>
      </c>
      <c r="C2435" s="595"/>
      <c r="D2435" s="595"/>
      <c r="E2435" s="595"/>
      <c r="F2435" s="595"/>
      <c r="G2435" s="596"/>
    </row>
    <row r="2436" spans="1:7" ht="12.75">
      <c r="A2436" s="597" t="s">
        <v>1755</v>
      </c>
      <c r="B2436" s="597"/>
      <c r="C2436" s="595"/>
      <c r="D2436" s="595"/>
      <c r="E2436" s="595"/>
      <c r="F2436" s="595"/>
      <c r="G2436" s="596"/>
    </row>
    <row r="2437" spans="1:7" ht="63.75">
      <c r="A2437" s="171" t="s">
        <v>633</v>
      </c>
      <c r="B2437" s="182" t="s">
        <v>634</v>
      </c>
      <c r="C2437" s="172" t="s">
        <v>72</v>
      </c>
      <c r="D2437" s="172" t="s">
        <v>75</v>
      </c>
      <c r="E2437" s="373"/>
      <c r="F2437" s="374"/>
      <c r="G2437" s="375"/>
    </row>
    <row r="2438" spans="1:7" ht="25.5">
      <c r="A2438" s="173" t="s">
        <v>577</v>
      </c>
      <c r="B2438" s="174" t="s">
        <v>578</v>
      </c>
      <c r="C2438" s="175" t="s">
        <v>73</v>
      </c>
      <c r="D2438" s="175" t="s">
        <v>75</v>
      </c>
      <c r="E2438" s="434">
        <v>0.0099</v>
      </c>
      <c r="F2438" s="435">
        <v>41.55</v>
      </c>
      <c r="G2438" s="436">
        <f aca="true" t="shared" si="32" ref="G2438:G2443">E2438*F2438</f>
        <v>0.411345</v>
      </c>
    </row>
    <row r="2439" spans="1:7" ht="25.5">
      <c r="A2439" s="173" t="s">
        <v>579</v>
      </c>
      <c r="B2439" s="174" t="s">
        <v>580</v>
      </c>
      <c r="C2439" s="175" t="s">
        <v>73</v>
      </c>
      <c r="D2439" s="175" t="s">
        <v>75</v>
      </c>
      <c r="E2439" s="434">
        <v>0.015</v>
      </c>
      <c r="F2439" s="435">
        <v>36.08</v>
      </c>
      <c r="G2439" s="436">
        <f t="shared" si="32"/>
        <v>0.5411999999999999</v>
      </c>
    </row>
    <row r="2440" spans="1:7" ht="25.5">
      <c r="A2440" s="173" t="s">
        <v>635</v>
      </c>
      <c r="B2440" s="174" t="s">
        <v>636</v>
      </c>
      <c r="C2440" s="175" t="s">
        <v>73</v>
      </c>
      <c r="D2440" s="175" t="s">
        <v>75</v>
      </c>
      <c r="E2440" s="434">
        <v>1</v>
      </c>
      <c r="F2440" s="435">
        <v>1.71</v>
      </c>
      <c r="G2440" s="436">
        <f t="shared" si="32"/>
        <v>1.71</v>
      </c>
    </row>
    <row r="2441" spans="1:7" ht="12.75">
      <c r="A2441" s="173" t="s">
        <v>583</v>
      </c>
      <c r="B2441" s="174" t="s">
        <v>584</v>
      </c>
      <c r="C2441" s="175" t="s">
        <v>73</v>
      </c>
      <c r="D2441" s="175" t="s">
        <v>75</v>
      </c>
      <c r="E2441" s="434">
        <v>0.021</v>
      </c>
      <c r="F2441" s="435">
        <v>1.52</v>
      </c>
      <c r="G2441" s="436">
        <f t="shared" si="32"/>
        <v>0.031920000000000004</v>
      </c>
    </row>
    <row r="2442" spans="1:7" ht="38.25">
      <c r="A2442" s="173" t="s">
        <v>492</v>
      </c>
      <c r="B2442" s="174" t="s">
        <v>493</v>
      </c>
      <c r="C2442" s="175" t="s">
        <v>72</v>
      </c>
      <c r="D2442" s="175" t="s">
        <v>77</v>
      </c>
      <c r="E2442" s="434">
        <v>0.1</v>
      </c>
      <c r="F2442" s="435">
        <v>12.86</v>
      </c>
      <c r="G2442" s="436">
        <f t="shared" si="32"/>
        <v>1.286</v>
      </c>
    </row>
    <row r="2443" spans="1:7" ht="25.5">
      <c r="A2443" s="173" t="s">
        <v>494</v>
      </c>
      <c r="B2443" s="174" t="s">
        <v>495</v>
      </c>
      <c r="C2443" s="175" t="s">
        <v>72</v>
      </c>
      <c r="D2443" s="175" t="s">
        <v>77</v>
      </c>
      <c r="E2443" s="434">
        <v>0.1</v>
      </c>
      <c r="F2443" s="435">
        <v>15.12</v>
      </c>
      <c r="G2443" s="436">
        <f t="shared" si="32"/>
        <v>1.512</v>
      </c>
    </row>
    <row r="2444" spans="1:7" ht="12.75">
      <c r="A2444" s="783" t="s">
        <v>439</v>
      </c>
      <c r="B2444" s="784"/>
      <c r="C2444" s="784"/>
      <c r="D2444" s="784"/>
      <c r="E2444" s="784"/>
      <c r="F2444" s="784"/>
      <c r="G2444" s="440">
        <f>ROUNDUP(SUM(G2442:G2443),2)</f>
        <v>2.8</v>
      </c>
    </row>
    <row r="2445" spans="1:7" ht="12.75">
      <c r="A2445" s="783" t="s">
        <v>440</v>
      </c>
      <c r="B2445" s="784"/>
      <c r="C2445" s="784"/>
      <c r="D2445" s="784"/>
      <c r="E2445" s="784"/>
      <c r="F2445" s="784"/>
      <c r="G2445" s="440">
        <f>ROUNDUP(SUM(G2438:G2441),2)</f>
        <v>2.6999999999999997</v>
      </c>
    </row>
    <row r="2446" spans="1:7" ht="12.75">
      <c r="A2446" s="783" t="s">
        <v>441</v>
      </c>
      <c r="B2446" s="784"/>
      <c r="C2446" s="784"/>
      <c r="D2446" s="784"/>
      <c r="E2446" s="784"/>
      <c r="F2446" s="784"/>
      <c r="G2446" s="440">
        <f>SUM(G2444:G2445)</f>
        <v>5.5</v>
      </c>
    </row>
    <row r="2447" spans="1:7" ht="12.75">
      <c r="A2447" s="783" t="s">
        <v>442</v>
      </c>
      <c r="B2447" s="784"/>
      <c r="C2447" s="784"/>
      <c r="D2447" s="784"/>
      <c r="E2447" s="784"/>
      <c r="F2447" s="784"/>
      <c r="G2447" s="440">
        <f>G2444*85.16%</f>
        <v>2.3844799999999995</v>
      </c>
    </row>
    <row r="2448" spans="1:7" ht="12.75">
      <c r="A2448" s="783" t="s">
        <v>443</v>
      </c>
      <c r="B2448" s="784"/>
      <c r="C2448" s="784"/>
      <c r="D2448" s="784"/>
      <c r="E2448" s="784"/>
      <c r="F2448" s="784"/>
      <c r="G2448" s="440">
        <f>G2447</f>
        <v>2.3844799999999995</v>
      </c>
    </row>
    <row r="2449" spans="1:7" ht="12.75">
      <c r="A2449" s="785" t="s">
        <v>444</v>
      </c>
      <c r="B2449" s="786"/>
      <c r="C2449" s="786"/>
      <c r="D2449" s="786"/>
      <c r="E2449" s="786"/>
      <c r="F2449" s="787"/>
      <c r="G2449" s="440">
        <f>G2445</f>
        <v>2.6999999999999997</v>
      </c>
    </row>
    <row r="2450" spans="1:7" ht="12.75">
      <c r="A2450" s="785" t="s">
        <v>445</v>
      </c>
      <c r="B2450" s="786"/>
      <c r="C2450" s="786"/>
      <c r="D2450" s="786"/>
      <c r="E2450" s="786"/>
      <c r="F2450" s="787"/>
      <c r="G2450" s="440">
        <f>G2444+G2448</f>
        <v>5.184479999999999</v>
      </c>
    </row>
    <row r="2451" spans="1:7" ht="12.75">
      <c r="A2451" s="785" t="s">
        <v>446</v>
      </c>
      <c r="B2451" s="786"/>
      <c r="C2451" s="786"/>
      <c r="D2451" s="786"/>
      <c r="E2451" s="786"/>
      <c r="F2451" s="787"/>
      <c r="G2451" s="440">
        <f>SUM(G2449:G2450)</f>
        <v>7.884479999999998</v>
      </c>
    </row>
    <row r="2452" spans="1:7" ht="12.75">
      <c r="A2452" s="796"/>
      <c r="B2452" s="797"/>
      <c r="C2452" s="797"/>
      <c r="D2452" s="797"/>
      <c r="E2452" s="797"/>
      <c r="F2452" s="797"/>
      <c r="G2452" s="798"/>
    </row>
    <row r="2453" spans="1:7" ht="12.75">
      <c r="A2453" s="804"/>
      <c r="B2453" s="805"/>
      <c r="C2453" s="805"/>
      <c r="D2453" s="805"/>
      <c r="E2453" s="805"/>
      <c r="F2453" s="805"/>
      <c r="G2453" s="806"/>
    </row>
    <row r="2454" spans="1:7" ht="12.75">
      <c r="A2454" s="597" t="s">
        <v>1756</v>
      </c>
      <c r="B2454" s="595"/>
      <c r="C2454" s="595"/>
      <c r="D2454" s="595"/>
      <c r="E2454" s="595"/>
      <c r="F2454" s="595"/>
      <c r="G2454" s="596"/>
    </row>
    <row r="2455" spans="1:7" ht="63.75">
      <c r="A2455" s="171" t="s">
        <v>645</v>
      </c>
      <c r="B2455" s="182" t="s">
        <v>646</v>
      </c>
      <c r="C2455" s="172" t="s">
        <v>72</v>
      </c>
      <c r="D2455" s="172" t="s">
        <v>75</v>
      </c>
      <c r="E2455" s="373"/>
      <c r="F2455" s="374"/>
      <c r="G2455" s="375"/>
    </row>
    <row r="2456" spans="1:7" ht="51">
      <c r="A2456" s="173" t="s">
        <v>639</v>
      </c>
      <c r="B2456" s="174" t="s">
        <v>640</v>
      </c>
      <c r="C2456" s="175" t="s">
        <v>73</v>
      </c>
      <c r="D2456" s="175" t="s">
        <v>75</v>
      </c>
      <c r="E2456" s="434">
        <v>0.02</v>
      </c>
      <c r="F2456" s="435">
        <v>15.21</v>
      </c>
      <c r="G2456" s="436">
        <f>E2456*F2456</f>
        <v>0.3042</v>
      </c>
    </row>
    <row r="2457" spans="1:7" ht="25.5">
      <c r="A2457" s="173" t="s">
        <v>641</v>
      </c>
      <c r="B2457" s="174" t="s">
        <v>642</v>
      </c>
      <c r="C2457" s="175" t="s">
        <v>73</v>
      </c>
      <c r="D2457" s="175" t="s">
        <v>75</v>
      </c>
      <c r="E2457" s="434">
        <v>1</v>
      </c>
      <c r="F2457" s="435">
        <v>0.98</v>
      </c>
      <c r="G2457" s="436">
        <f>E2457*F2457</f>
        <v>0.98</v>
      </c>
    </row>
    <row r="2458" spans="1:7" ht="25.5">
      <c r="A2458" s="173" t="s">
        <v>647</v>
      </c>
      <c r="B2458" s="174" t="s">
        <v>648</v>
      </c>
      <c r="C2458" s="175" t="s">
        <v>73</v>
      </c>
      <c r="D2458" s="175" t="s">
        <v>75</v>
      </c>
      <c r="E2458" s="434">
        <v>1</v>
      </c>
      <c r="F2458" s="435">
        <v>2.08</v>
      </c>
      <c r="G2458" s="436">
        <f>E2458*F2458</f>
        <v>2.08</v>
      </c>
    </row>
    <row r="2459" spans="1:7" ht="38.25">
      <c r="A2459" s="173" t="s">
        <v>492</v>
      </c>
      <c r="B2459" s="174" t="s">
        <v>493</v>
      </c>
      <c r="C2459" s="175" t="s">
        <v>72</v>
      </c>
      <c r="D2459" s="175" t="s">
        <v>77</v>
      </c>
      <c r="E2459" s="434">
        <v>0.13</v>
      </c>
      <c r="F2459" s="435">
        <v>12.86</v>
      </c>
      <c r="G2459" s="436">
        <f>E2459*F2459</f>
        <v>1.6718</v>
      </c>
    </row>
    <row r="2460" spans="1:7" ht="25.5">
      <c r="A2460" s="173" t="s">
        <v>494</v>
      </c>
      <c r="B2460" s="174" t="s">
        <v>495</v>
      </c>
      <c r="C2460" s="175" t="s">
        <v>72</v>
      </c>
      <c r="D2460" s="175" t="s">
        <v>77</v>
      </c>
      <c r="E2460" s="434">
        <v>0.13</v>
      </c>
      <c r="F2460" s="435">
        <v>15.12</v>
      </c>
      <c r="G2460" s="436">
        <f>E2460*F2460</f>
        <v>1.9656</v>
      </c>
    </row>
    <row r="2461" spans="1:7" ht="12.75">
      <c r="A2461" s="783" t="s">
        <v>439</v>
      </c>
      <c r="B2461" s="784"/>
      <c r="C2461" s="784"/>
      <c r="D2461" s="784"/>
      <c r="E2461" s="784"/>
      <c r="F2461" s="784"/>
      <c r="G2461" s="440">
        <f>ROUNDUP(SUM(G2459:G2460),2)</f>
        <v>3.6399999999999997</v>
      </c>
    </row>
    <row r="2462" spans="1:7" ht="12.75">
      <c r="A2462" s="783" t="s">
        <v>440</v>
      </c>
      <c r="B2462" s="784"/>
      <c r="C2462" s="784"/>
      <c r="D2462" s="784"/>
      <c r="E2462" s="784"/>
      <c r="F2462" s="784"/>
      <c r="G2462" s="440">
        <f>ROUNDUP(SUM(G2456:G2458),2)</f>
        <v>3.3699999999999997</v>
      </c>
    </row>
    <row r="2463" spans="1:7" ht="12.75">
      <c r="A2463" s="783" t="s">
        <v>441</v>
      </c>
      <c r="B2463" s="784"/>
      <c r="C2463" s="784"/>
      <c r="D2463" s="784"/>
      <c r="E2463" s="784"/>
      <c r="F2463" s="784"/>
      <c r="G2463" s="440">
        <f>SUM(G2461:G2462)</f>
        <v>7.01</v>
      </c>
    </row>
    <row r="2464" spans="1:7" ht="12.75">
      <c r="A2464" s="783" t="s">
        <v>442</v>
      </c>
      <c r="B2464" s="784"/>
      <c r="C2464" s="784"/>
      <c r="D2464" s="784"/>
      <c r="E2464" s="784"/>
      <c r="F2464" s="784"/>
      <c r="G2464" s="440">
        <f>G2461*85.16%</f>
        <v>3.0998239999999995</v>
      </c>
    </row>
    <row r="2465" spans="1:7" ht="12.75">
      <c r="A2465" s="783" t="s">
        <v>443</v>
      </c>
      <c r="B2465" s="784"/>
      <c r="C2465" s="784"/>
      <c r="D2465" s="784"/>
      <c r="E2465" s="784"/>
      <c r="F2465" s="784"/>
      <c r="G2465" s="440">
        <f>G2464</f>
        <v>3.0998239999999995</v>
      </c>
    </row>
    <row r="2466" spans="1:7" ht="12.75">
      <c r="A2466" s="785" t="s">
        <v>444</v>
      </c>
      <c r="B2466" s="786"/>
      <c r="C2466" s="786"/>
      <c r="D2466" s="786"/>
      <c r="E2466" s="786"/>
      <c r="F2466" s="787"/>
      <c r="G2466" s="440">
        <f>G2462</f>
        <v>3.3699999999999997</v>
      </c>
    </row>
    <row r="2467" spans="1:7" ht="12.75">
      <c r="A2467" s="785" t="s">
        <v>445</v>
      </c>
      <c r="B2467" s="786"/>
      <c r="C2467" s="786"/>
      <c r="D2467" s="786"/>
      <c r="E2467" s="786"/>
      <c r="F2467" s="787"/>
      <c r="G2467" s="440">
        <f>G2461+G2465</f>
        <v>6.739823999999999</v>
      </c>
    </row>
    <row r="2468" spans="1:7" ht="12.75">
      <c r="A2468" s="785" t="s">
        <v>446</v>
      </c>
      <c r="B2468" s="786"/>
      <c r="C2468" s="786"/>
      <c r="D2468" s="786"/>
      <c r="E2468" s="786"/>
      <c r="F2468" s="787"/>
      <c r="G2468" s="440">
        <f>SUM(G2466:G2467)</f>
        <v>10.109823999999998</v>
      </c>
    </row>
    <row r="2469" spans="1:7" ht="12.75">
      <c r="A2469" s="796"/>
      <c r="B2469" s="797"/>
      <c r="C2469" s="797"/>
      <c r="D2469" s="797"/>
      <c r="E2469" s="797"/>
      <c r="F2469" s="797"/>
      <c r="G2469" s="798"/>
    </row>
    <row r="2470" spans="1:7" ht="12.75">
      <c r="A2470" s="804"/>
      <c r="B2470" s="805"/>
      <c r="C2470" s="805"/>
      <c r="D2470" s="805"/>
      <c r="E2470" s="805"/>
      <c r="F2470" s="805"/>
      <c r="G2470" s="806"/>
    </row>
    <row r="2471" spans="1:7" ht="12.75">
      <c r="A2471" s="597" t="s">
        <v>1757</v>
      </c>
      <c r="B2471" s="595"/>
      <c r="C2471" s="595"/>
      <c r="D2471" s="595"/>
      <c r="E2471" s="595"/>
      <c r="F2471" s="595"/>
      <c r="G2471" s="596"/>
    </row>
    <row r="2472" spans="1:7" ht="63.75">
      <c r="A2472" s="171" t="s">
        <v>661</v>
      </c>
      <c r="B2472" s="182" t="s">
        <v>662</v>
      </c>
      <c r="C2472" s="172" t="s">
        <v>72</v>
      </c>
      <c r="D2472" s="172" t="s">
        <v>75</v>
      </c>
      <c r="E2472" s="373"/>
      <c r="F2472" s="374"/>
      <c r="G2472" s="375"/>
    </row>
    <row r="2473" spans="1:7" ht="51">
      <c r="A2473" s="173" t="s">
        <v>639</v>
      </c>
      <c r="B2473" s="174" t="s">
        <v>640</v>
      </c>
      <c r="C2473" s="175" t="s">
        <v>73</v>
      </c>
      <c r="D2473" s="175" t="s">
        <v>75</v>
      </c>
      <c r="E2473" s="434">
        <v>0.046</v>
      </c>
      <c r="F2473" s="435">
        <v>15.21</v>
      </c>
      <c r="G2473" s="436">
        <f>E2473*F2473</f>
        <v>0.6996600000000001</v>
      </c>
    </row>
    <row r="2474" spans="1:7" ht="25.5">
      <c r="A2474" s="173" t="s">
        <v>657</v>
      </c>
      <c r="B2474" s="174" t="s">
        <v>658</v>
      </c>
      <c r="C2474" s="175" t="s">
        <v>73</v>
      </c>
      <c r="D2474" s="175" t="s">
        <v>75</v>
      </c>
      <c r="E2474" s="434">
        <v>1</v>
      </c>
      <c r="F2474" s="435">
        <v>1.75</v>
      </c>
      <c r="G2474" s="436">
        <f>E2474*F2474</f>
        <v>1.75</v>
      </c>
    </row>
    <row r="2475" spans="1:7" ht="25.5">
      <c r="A2475" s="173" t="s">
        <v>663</v>
      </c>
      <c r="B2475" s="174" t="s">
        <v>664</v>
      </c>
      <c r="C2475" s="175" t="s">
        <v>73</v>
      </c>
      <c r="D2475" s="175" t="s">
        <v>75</v>
      </c>
      <c r="E2475" s="434">
        <v>1</v>
      </c>
      <c r="F2475" s="435">
        <v>5.41</v>
      </c>
      <c r="G2475" s="436">
        <f>E2475*F2475</f>
        <v>5.41</v>
      </c>
    </row>
    <row r="2476" spans="1:7" ht="38.25">
      <c r="A2476" s="173" t="s">
        <v>492</v>
      </c>
      <c r="B2476" s="174" t="s">
        <v>493</v>
      </c>
      <c r="C2476" s="175" t="s">
        <v>72</v>
      </c>
      <c r="D2476" s="175" t="s">
        <v>77</v>
      </c>
      <c r="E2476" s="434">
        <v>0.25</v>
      </c>
      <c r="F2476" s="435">
        <v>12.86</v>
      </c>
      <c r="G2476" s="436">
        <f>E2476*F2476</f>
        <v>3.215</v>
      </c>
    </row>
    <row r="2477" spans="1:7" ht="25.5">
      <c r="A2477" s="173" t="s">
        <v>494</v>
      </c>
      <c r="B2477" s="174" t="s">
        <v>495</v>
      </c>
      <c r="C2477" s="175" t="s">
        <v>72</v>
      </c>
      <c r="D2477" s="175" t="s">
        <v>77</v>
      </c>
      <c r="E2477" s="434">
        <v>0.25</v>
      </c>
      <c r="F2477" s="435">
        <v>15.12</v>
      </c>
      <c r="G2477" s="436">
        <f>E2477*F2477</f>
        <v>3.78</v>
      </c>
    </row>
    <row r="2478" spans="1:7" ht="12.75">
      <c r="A2478" s="783" t="s">
        <v>439</v>
      </c>
      <c r="B2478" s="784"/>
      <c r="C2478" s="784"/>
      <c r="D2478" s="784"/>
      <c r="E2478" s="784"/>
      <c r="F2478" s="784"/>
      <c r="G2478" s="440">
        <f>ROUNDUP(SUM(G2476:G2477),2)</f>
        <v>7</v>
      </c>
    </row>
    <row r="2479" spans="1:7" ht="12.75">
      <c r="A2479" s="783" t="s">
        <v>440</v>
      </c>
      <c r="B2479" s="784"/>
      <c r="C2479" s="784"/>
      <c r="D2479" s="784"/>
      <c r="E2479" s="784"/>
      <c r="F2479" s="784"/>
      <c r="G2479" s="440">
        <f>ROUNDUP(SUM(G2473:G2475),2)</f>
        <v>7.859999999999999</v>
      </c>
    </row>
    <row r="2480" spans="1:7" ht="12.75">
      <c r="A2480" s="783" t="s">
        <v>441</v>
      </c>
      <c r="B2480" s="784"/>
      <c r="C2480" s="784"/>
      <c r="D2480" s="784"/>
      <c r="E2480" s="784"/>
      <c r="F2480" s="784"/>
      <c r="G2480" s="440">
        <f>SUM(G2478:G2479)</f>
        <v>14.86</v>
      </c>
    </row>
    <row r="2481" spans="1:7" ht="12.75">
      <c r="A2481" s="783" t="s">
        <v>442</v>
      </c>
      <c r="B2481" s="784"/>
      <c r="C2481" s="784"/>
      <c r="D2481" s="784"/>
      <c r="E2481" s="784"/>
      <c r="F2481" s="784"/>
      <c r="G2481" s="440">
        <f>G2478*85.16%</f>
        <v>5.9612</v>
      </c>
    </row>
    <row r="2482" spans="1:7" ht="12.75">
      <c r="A2482" s="783" t="s">
        <v>443</v>
      </c>
      <c r="B2482" s="784"/>
      <c r="C2482" s="784"/>
      <c r="D2482" s="784"/>
      <c r="E2482" s="784"/>
      <c r="F2482" s="784"/>
      <c r="G2482" s="440">
        <f>G2481</f>
        <v>5.9612</v>
      </c>
    </row>
    <row r="2483" spans="1:7" ht="12.75">
      <c r="A2483" s="785" t="s">
        <v>444</v>
      </c>
      <c r="B2483" s="786"/>
      <c r="C2483" s="786"/>
      <c r="D2483" s="786"/>
      <c r="E2483" s="786"/>
      <c r="F2483" s="787"/>
      <c r="G2483" s="440">
        <f>G2479</f>
        <v>7.859999999999999</v>
      </c>
    </row>
    <row r="2484" spans="1:7" ht="12.75">
      <c r="A2484" s="785" t="s">
        <v>445</v>
      </c>
      <c r="B2484" s="786"/>
      <c r="C2484" s="786"/>
      <c r="D2484" s="786"/>
      <c r="E2484" s="786"/>
      <c r="F2484" s="787"/>
      <c r="G2484" s="440">
        <f>G2478+G2482</f>
        <v>12.9612</v>
      </c>
    </row>
    <row r="2485" spans="1:7" ht="12.75">
      <c r="A2485" s="785" t="s">
        <v>446</v>
      </c>
      <c r="B2485" s="786"/>
      <c r="C2485" s="786"/>
      <c r="D2485" s="786"/>
      <c r="E2485" s="786"/>
      <c r="F2485" s="787"/>
      <c r="G2485" s="440">
        <f>SUM(G2483:G2484)</f>
        <v>20.821199999999997</v>
      </c>
    </row>
    <row r="2486" spans="1:7" ht="12.75">
      <c r="A2486" s="796"/>
      <c r="B2486" s="797"/>
      <c r="C2486" s="797"/>
      <c r="D2486" s="797"/>
      <c r="E2486" s="797"/>
      <c r="F2486" s="797"/>
      <c r="G2486" s="798"/>
    </row>
    <row r="2487" spans="1:7" ht="12.75">
      <c r="A2487" s="804"/>
      <c r="B2487" s="805"/>
      <c r="C2487" s="805"/>
      <c r="D2487" s="805"/>
      <c r="E2487" s="805"/>
      <c r="F2487" s="805"/>
      <c r="G2487" s="806"/>
    </row>
    <row r="2488" spans="1:7" ht="12.75">
      <c r="A2488" s="597" t="s">
        <v>1758</v>
      </c>
      <c r="B2488" s="595"/>
      <c r="C2488" s="595"/>
      <c r="D2488" s="595"/>
      <c r="E2488" s="595"/>
      <c r="F2488" s="595"/>
      <c r="G2488" s="596"/>
    </row>
    <row r="2489" spans="1:7" ht="63.75">
      <c r="A2489" s="171" t="s">
        <v>629</v>
      </c>
      <c r="B2489" s="182" t="s">
        <v>630</v>
      </c>
      <c r="C2489" s="172" t="s">
        <v>72</v>
      </c>
      <c r="D2489" s="172" t="s">
        <v>75</v>
      </c>
      <c r="E2489" s="373"/>
      <c r="F2489" s="374"/>
      <c r="G2489" s="375"/>
    </row>
    <row r="2490" spans="1:7" ht="25.5">
      <c r="A2490" s="173" t="s">
        <v>577</v>
      </c>
      <c r="B2490" s="174" t="s">
        <v>578</v>
      </c>
      <c r="C2490" s="175" t="s">
        <v>73</v>
      </c>
      <c r="D2490" s="175" t="s">
        <v>75</v>
      </c>
      <c r="E2490" s="434">
        <v>0.0099</v>
      </c>
      <c r="F2490" s="435">
        <v>41.55</v>
      </c>
      <c r="G2490" s="436">
        <f aca="true" t="shared" si="33" ref="G2490:G2495">E2490*F2490</f>
        <v>0.411345</v>
      </c>
    </row>
    <row r="2491" spans="1:7" ht="25.5">
      <c r="A2491" s="173" t="s">
        <v>579</v>
      </c>
      <c r="B2491" s="174" t="s">
        <v>580</v>
      </c>
      <c r="C2491" s="175" t="s">
        <v>73</v>
      </c>
      <c r="D2491" s="175" t="s">
        <v>75</v>
      </c>
      <c r="E2491" s="434">
        <v>0.015</v>
      </c>
      <c r="F2491" s="435">
        <v>36.08</v>
      </c>
      <c r="G2491" s="436">
        <f t="shared" si="33"/>
        <v>0.5411999999999999</v>
      </c>
    </row>
    <row r="2492" spans="1:7" ht="25.5">
      <c r="A2492" s="173" t="s">
        <v>631</v>
      </c>
      <c r="B2492" s="174" t="s">
        <v>632</v>
      </c>
      <c r="C2492" s="175" t="s">
        <v>73</v>
      </c>
      <c r="D2492" s="175" t="s">
        <v>75</v>
      </c>
      <c r="E2492" s="434">
        <v>1</v>
      </c>
      <c r="F2492" s="435">
        <v>1.04</v>
      </c>
      <c r="G2492" s="436">
        <f t="shared" si="33"/>
        <v>1.04</v>
      </c>
    </row>
    <row r="2493" spans="1:7" ht="12.75">
      <c r="A2493" s="173" t="s">
        <v>583</v>
      </c>
      <c r="B2493" s="174" t="s">
        <v>584</v>
      </c>
      <c r="C2493" s="175" t="s">
        <v>73</v>
      </c>
      <c r="D2493" s="175" t="s">
        <v>75</v>
      </c>
      <c r="E2493" s="434">
        <v>0.021</v>
      </c>
      <c r="F2493" s="435">
        <v>1.52</v>
      </c>
      <c r="G2493" s="436">
        <f t="shared" si="33"/>
        <v>0.031920000000000004</v>
      </c>
    </row>
    <row r="2494" spans="1:7" ht="38.25">
      <c r="A2494" s="173" t="s">
        <v>492</v>
      </c>
      <c r="B2494" s="174" t="s">
        <v>493</v>
      </c>
      <c r="C2494" s="175" t="s">
        <v>72</v>
      </c>
      <c r="D2494" s="175" t="s">
        <v>77</v>
      </c>
      <c r="E2494" s="434">
        <v>0.1</v>
      </c>
      <c r="F2494" s="435">
        <v>12.86</v>
      </c>
      <c r="G2494" s="436">
        <f t="shared" si="33"/>
        <v>1.286</v>
      </c>
    </row>
    <row r="2495" spans="1:7" ht="25.5">
      <c r="A2495" s="173" t="s">
        <v>494</v>
      </c>
      <c r="B2495" s="174" t="s">
        <v>495</v>
      </c>
      <c r="C2495" s="175" t="s">
        <v>72</v>
      </c>
      <c r="D2495" s="175" t="s">
        <v>77</v>
      </c>
      <c r="E2495" s="434">
        <v>0.1</v>
      </c>
      <c r="F2495" s="435">
        <v>15.12</v>
      </c>
      <c r="G2495" s="436">
        <f t="shared" si="33"/>
        <v>1.512</v>
      </c>
    </row>
    <row r="2496" spans="1:7" ht="12.75">
      <c r="A2496" s="783" t="s">
        <v>439</v>
      </c>
      <c r="B2496" s="784"/>
      <c r="C2496" s="784"/>
      <c r="D2496" s="784"/>
      <c r="E2496" s="784"/>
      <c r="F2496" s="784"/>
      <c r="G2496" s="440">
        <f>ROUNDUP(SUM(G2494:G2495),2)</f>
        <v>2.8</v>
      </c>
    </row>
    <row r="2497" spans="1:7" ht="12.75">
      <c r="A2497" s="783" t="s">
        <v>440</v>
      </c>
      <c r="B2497" s="784"/>
      <c r="C2497" s="784"/>
      <c r="D2497" s="784"/>
      <c r="E2497" s="784"/>
      <c r="F2497" s="784"/>
      <c r="G2497" s="440">
        <f>ROUNDUP(SUM(G2490:G2493),2)</f>
        <v>2.03</v>
      </c>
    </row>
    <row r="2498" spans="1:7" ht="12.75">
      <c r="A2498" s="783" t="s">
        <v>441</v>
      </c>
      <c r="B2498" s="784"/>
      <c r="C2498" s="784"/>
      <c r="D2498" s="784"/>
      <c r="E2498" s="784"/>
      <c r="F2498" s="784"/>
      <c r="G2498" s="440">
        <f>SUM(G2496:G2497)</f>
        <v>4.83</v>
      </c>
    </row>
    <row r="2499" spans="1:7" ht="12.75">
      <c r="A2499" s="783" t="s">
        <v>442</v>
      </c>
      <c r="B2499" s="784"/>
      <c r="C2499" s="784"/>
      <c r="D2499" s="784"/>
      <c r="E2499" s="784"/>
      <c r="F2499" s="784"/>
      <c r="G2499" s="440">
        <f>G2496*85.16%</f>
        <v>2.3844799999999995</v>
      </c>
    </row>
    <row r="2500" spans="1:7" ht="12.75">
      <c r="A2500" s="783" t="s">
        <v>443</v>
      </c>
      <c r="B2500" s="784"/>
      <c r="C2500" s="784"/>
      <c r="D2500" s="784"/>
      <c r="E2500" s="784"/>
      <c r="F2500" s="784"/>
      <c r="G2500" s="440">
        <f>G2499</f>
        <v>2.3844799999999995</v>
      </c>
    </row>
    <row r="2501" spans="1:7" ht="12.75">
      <c r="A2501" s="785" t="s">
        <v>444</v>
      </c>
      <c r="B2501" s="786"/>
      <c r="C2501" s="786"/>
      <c r="D2501" s="786"/>
      <c r="E2501" s="786"/>
      <c r="F2501" s="787"/>
      <c r="G2501" s="440">
        <f>G2497</f>
        <v>2.03</v>
      </c>
    </row>
    <row r="2502" spans="1:7" ht="12.75">
      <c r="A2502" s="785" t="s">
        <v>445</v>
      </c>
      <c r="B2502" s="786"/>
      <c r="C2502" s="786"/>
      <c r="D2502" s="786"/>
      <c r="E2502" s="786"/>
      <c r="F2502" s="787"/>
      <c r="G2502" s="440">
        <f>G2496+G2500</f>
        <v>5.184479999999999</v>
      </c>
    </row>
    <row r="2503" spans="1:7" ht="12.75">
      <c r="A2503" s="785" t="s">
        <v>446</v>
      </c>
      <c r="B2503" s="786"/>
      <c r="C2503" s="786"/>
      <c r="D2503" s="786"/>
      <c r="E2503" s="786"/>
      <c r="F2503" s="787"/>
      <c r="G2503" s="440">
        <f>SUM(G2501:G2502)</f>
        <v>7.214479999999998</v>
      </c>
    </row>
    <row r="2504" spans="1:7" ht="12.75">
      <c r="A2504" s="796"/>
      <c r="B2504" s="797"/>
      <c r="C2504" s="797"/>
      <c r="D2504" s="797"/>
      <c r="E2504" s="797"/>
      <c r="F2504" s="797"/>
      <c r="G2504" s="798"/>
    </row>
    <row r="2505" spans="1:7" ht="12.75">
      <c r="A2505" s="804"/>
      <c r="B2505" s="805"/>
      <c r="C2505" s="805"/>
      <c r="D2505" s="805"/>
      <c r="E2505" s="805"/>
      <c r="F2505" s="805"/>
      <c r="G2505" s="806"/>
    </row>
    <row r="2506" spans="1:7" ht="12.75">
      <c r="A2506" s="597" t="s">
        <v>1759</v>
      </c>
      <c r="B2506" s="595"/>
      <c r="C2506" s="595"/>
      <c r="D2506" s="595"/>
      <c r="E2506" s="595"/>
      <c r="F2506" s="595"/>
      <c r="G2506" s="596"/>
    </row>
    <row r="2507" spans="1:7" ht="63.75">
      <c r="A2507" s="171" t="s">
        <v>637</v>
      </c>
      <c r="B2507" s="182" t="s">
        <v>638</v>
      </c>
      <c r="C2507" s="172" t="s">
        <v>72</v>
      </c>
      <c r="D2507" s="172" t="s">
        <v>75</v>
      </c>
      <c r="E2507" s="373"/>
      <c r="F2507" s="374"/>
      <c r="G2507" s="375"/>
    </row>
    <row r="2508" spans="1:7" ht="51">
      <c r="A2508" s="173" t="s">
        <v>639</v>
      </c>
      <c r="B2508" s="174" t="s">
        <v>640</v>
      </c>
      <c r="C2508" s="175" t="s">
        <v>73</v>
      </c>
      <c r="D2508" s="175" t="s">
        <v>75</v>
      </c>
      <c r="E2508" s="434">
        <v>0.02</v>
      </c>
      <c r="F2508" s="435">
        <v>15.21</v>
      </c>
      <c r="G2508" s="436">
        <f>E2508*F2508</f>
        <v>0.3042</v>
      </c>
    </row>
    <row r="2509" spans="1:7" ht="25.5">
      <c r="A2509" s="173" t="s">
        <v>641</v>
      </c>
      <c r="B2509" s="174" t="s">
        <v>642</v>
      </c>
      <c r="C2509" s="175" t="s">
        <v>73</v>
      </c>
      <c r="D2509" s="175" t="s">
        <v>75</v>
      </c>
      <c r="E2509" s="434">
        <v>1</v>
      </c>
      <c r="F2509" s="435">
        <v>0.98</v>
      </c>
      <c r="G2509" s="436">
        <f>E2509*F2509</f>
        <v>0.98</v>
      </c>
    </row>
    <row r="2510" spans="1:7" ht="25.5">
      <c r="A2510" s="173" t="s">
        <v>643</v>
      </c>
      <c r="B2510" s="174" t="s">
        <v>644</v>
      </c>
      <c r="C2510" s="175" t="s">
        <v>73</v>
      </c>
      <c r="D2510" s="175" t="s">
        <v>75</v>
      </c>
      <c r="E2510" s="434">
        <v>1</v>
      </c>
      <c r="F2510" s="435">
        <v>1.6</v>
      </c>
      <c r="G2510" s="436">
        <f>E2510*F2510</f>
        <v>1.6</v>
      </c>
    </row>
    <row r="2511" spans="1:7" ht="38.25">
      <c r="A2511" s="173" t="s">
        <v>492</v>
      </c>
      <c r="B2511" s="174" t="s">
        <v>493</v>
      </c>
      <c r="C2511" s="175" t="s">
        <v>72</v>
      </c>
      <c r="D2511" s="175" t="s">
        <v>77</v>
      </c>
      <c r="E2511" s="434">
        <v>0.13</v>
      </c>
      <c r="F2511" s="435">
        <v>12.86</v>
      </c>
      <c r="G2511" s="436">
        <f>E2511*F2511</f>
        <v>1.6718</v>
      </c>
    </row>
    <row r="2512" spans="1:7" ht="25.5">
      <c r="A2512" s="173" t="s">
        <v>494</v>
      </c>
      <c r="B2512" s="174" t="s">
        <v>495</v>
      </c>
      <c r="C2512" s="175" t="s">
        <v>72</v>
      </c>
      <c r="D2512" s="175" t="s">
        <v>77</v>
      </c>
      <c r="E2512" s="434">
        <v>0.13</v>
      </c>
      <c r="F2512" s="435">
        <v>15.12</v>
      </c>
      <c r="G2512" s="436">
        <f>E2512*F2512</f>
        <v>1.9656</v>
      </c>
    </row>
    <row r="2513" spans="1:7" ht="12.75">
      <c r="A2513" s="783" t="s">
        <v>439</v>
      </c>
      <c r="B2513" s="784"/>
      <c r="C2513" s="784"/>
      <c r="D2513" s="784"/>
      <c r="E2513" s="784"/>
      <c r="F2513" s="784"/>
      <c r="G2513" s="440">
        <f>ROUNDUP(SUM(G2511:G2512),2)</f>
        <v>3.6399999999999997</v>
      </c>
    </row>
    <row r="2514" spans="1:7" ht="12.75">
      <c r="A2514" s="783" t="s">
        <v>440</v>
      </c>
      <c r="B2514" s="784"/>
      <c r="C2514" s="784"/>
      <c r="D2514" s="784"/>
      <c r="E2514" s="784"/>
      <c r="F2514" s="784"/>
      <c r="G2514" s="440">
        <f>ROUNDUP(SUM(G2508:G2510),2)</f>
        <v>2.8899999999999997</v>
      </c>
    </row>
    <row r="2515" spans="1:7" ht="12.75">
      <c r="A2515" s="783" t="s">
        <v>441</v>
      </c>
      <c r="B2515" s="784"/>
      <c r="C2515" s="784"/>
      <c r="D2515" s="784"/>
      <c r="E2515" s="784"/>
      <c r="F2515" s="784"/>
      <c r="G2515" s="440">
        <f>SUM(G2513:G2514)</f>
        <v>6.529999999999999</v>
      </c>
    </row>
    <row r="2516" spans="1:7" ht="12.75">
      <c r="A2516" s="783" t="s">
        <v>442</v>
      </c>
      <c r="B2516" s="784"/>
      <c r="C2516" s="784"/>
      <c r="D2516" s="784"/>
      <c r="E2516" s="784"/>
      <c r="F2516" s="784"/>
      <c r="G2516" s="440">
        <f>G2513*85.16%</f>
        <v>3.0998239999999995</v>
      </c>
    </row>
    <row r="2517" spans="1:7" ht="12.75">
      <c r="A2517" s="783" t="s">
        <v>443</v>
      </c>
      <c r="B2517" s="784"/>
      <c r="C2517" s="784"/>
      <c r="D2517" s="784"/>
      <c r="E2517" s="784"/>
      <c r="F2517" s="784"/>
      <c r="G2517" s="440">
        <f>G2516</f>
        <v>3.0998239999999995</v>
      </c>
    </row>
    <row r="2518" spans="1:7" ht="12.75">
      <c r="A2518" s="785" t="s">
        <v>444</v>
      </c>
      <c r="B2518" s="786"/>
      <c r="C2518" s="786"/>
      <c r="D2518" s="786"/>
      <c r="E2518" s="786"/>
      <c r="F2518" s="787"/>
      <c r="G2518" s="440">
        <f>G2514</f>
        <v>2.8899999999999997</v>
      </c>
    </row>
    <row r="2519" spans="1:7" ht="12.75">
      <c r="A2519" s="785" t="s">
        <v>445</v>
      </c>
      <c r="B2519" s="786"/>
      <c r="C2519" s="786"/>
      <c r="D2519" s="786"/>
      <c r="E2519" s="786"/>
      <c r="F2519" s="787"/>
      <c r="G2519" s="440">
        <f>G2513+G2517</f>
        <v>6.739823999999999</v>
      </c>
    </row>
    <row r="2520" spans="1:7" ht="12.75">
      <c r="A2520" s="785" t="s">
        <v>446</v>
      </c>
      <c r="B2520" s="786"/>
      <c r="C2520" s="786"/>
      <c r="D2520" s="786"/>
      <c r="E2520" s="786"/>
      <c r="F2520" s="787"/>
      <c r="G2520" s="440">
        <f>SUM(G2518:G2519)</f>
        <v>9.629824</v>
      </c>
    </row>
    <row r="2521" spans="1:7" ht="12.75">
      <c r="A2521" s="796"/>
      <c r="B2521" s="797"/>
      <c r="C2521" s="797"/>
      <c r="D2521" s="797"/>
      <c r="E2521" s="797"/>
      <c r="F2521" s="797"/>
      <c r="G2521" s="798"/>
    </row>
    <row r="2522" spans="1:7" ht="12.75">
      <c r="A2522" s="804"/>
      <c r="B2522" s="805"/>
      <c r="C2522" s="805"/>
      <c r="D2522" s="805"/>
      <c r="E2522" s="805"/>
      <c r="F2522" s="805"/>
      <c r="G2522" s="806"/>
    </row>
    <row r="2523" spans="1:7" ht="12.75">
      <c r="A2523" s="597" t="s">
        <v>1760</v>
      </c>
      <c r="B2523" s="595"/>
      <c r="C2523" s="595"/>
      <c r="D2523" s="595"/>
      <c r="E2523" s="595"/>
      <c r="F2523" s="595"/>
      <c r="G2523" s="596"/>
    </row>
    <row r="2524" spans="1:7" ht="63.75">
      <c r="A2524" s="171" t="s">
        <v>649</v>
      </c>
      <c r="B2524" s="182" t="s">
        <v>650</v>
      </c>
      <c r="C2524" s="172" t="s">
        <v>72</v>
      </c>
      <c r="D2524" s="172" t="s">
        <v>75</v>
      </c>
      <c r="E2524" s="373"/>
      <c r="F2524" s="374"/>
      <c r="G2524" s="375"/>
    </row>
    <row r="2525" spans="1:7" ht="51">
      <c r="A2525" s="173" t="s">
        <v>639</v>
      </c>
      <c r="B2525" s="174" t="s">
        <v>640</v>
      </c>
      <c r="C2525" s="175" t="s">
        <v>73</v>
      </c>
      <c r="D2525" s="175" t="s">
        <v>75</v>
      </c>
      <c r="E2525" s="434">
        <v>0.03</v>
      </c>
      <c r="F2525" s="435">
        <v>15.21</v>
      </c>
      <c r="G2525" s="436">
        <f>E2525*F2525</f>
        <v>0.4563</v>
      </c>
    </row>
    <row r="2526" spans="1:7" ht="25.5">
      <c r="A2526" s="173" t="s">
        <v>651</v>
      </c>
      <c r="B2526" s="174" t="s">
        <v>652</v>
      </c>
      <c r="C2526" s="175" t="s">
        <v>73</v>
      </c>
      <c r="D2526" s="175" t="s">
        <v>75</v>
      </c>
      <c r="E2526" s="434">
        <v>1</v>
      </c>
      <c r="F2526" s="435">
        <v>1.39</v>
      </c>
      <c r="G2526" s="436">
        <f>E2526*F2526</f>
        <v>1.39</v>
      </c>
    </row>
    <row r="2527" spans="1:7" ht="25.5">
      <c r="A2527" s="173" t="s">
        <v>653</v>
      </c>
      <c r="B2527" s="174" t="s">
        <v>654</v>
      </c>
      <c r="C2527" s="175" t="s">
        <v>73</v>
      </c>
      <c r="D2527" s="175" t="s">
        <v>75</v>
      </c>
      <c r="E2527" s="434">
        <v>1</v>
      </c>
      <c r="F2527" s="435">
        <v>4.07</v>
      </c>
      <c r="G2527" s="436">
        <f>E2527*F2527</f>
        <v>4.07</v>
      </c>
    </row>
    <row r="2528" spans="1:7" ht="38.25">
      <c r="A2528" s="173" t="s">
        <v>492</v>
      </c>
      <c r="B2528" s="174" t="s">
        <v>493</v>
      </c>
      <c r="C2528" s="175" t="s">
        <v>72</v>
      </c>
      <c r="D2528" s="175" t="s">
        <v>77</v>
      </c>
      <c r="E2528" s="434">
        <v>0.19</v>
      </c>
      <c r="F2528" s="435">
        <v>12.86</v>
      </c>
      <c r="G2528" s="436">
        <f>E2528*F2528</f>
        <v>2.4434</v>
      </c>
    </row>
    <row r="2529" spans="1:7" ht="25.5">
      <c r="A2529" s="173" t="s">
        <v>494</v>
      </c>
      <c r="B2529" s="174" t="s">
        <v>495</v>
      </c>
      <c r="C2529" s="175" t="s">
        <v>72</v>
      </c>
      <c r="D2529" s="175" t="s">
        <v>77</v>
      </c>
      <c r="E2529" s="434">
        <v>0.19</v>
      </c>
      <c r="F2529" s="435">
        <v>15.12</v>
      </c>
      <c r="G2529" s="436">
        <f>E2529*F2529</f>
        <v>2.8728</v>
      </c>
    </row>
    <row r="2530" spans="1:7" ht="12.75">
      <c r="A2530" s="783" t="s">
        <v>439</v>
      </c>
      <c r="B2530" s="784"/>
      <c r="C2530" s="784"/>
      <c r="D2530" s="784"/>
      <c r="E2530" s="784"/>
      <c r="F2530" s="784"/>
      <c r="G2530" s="440">
        <f>ROUNDUP(SUM(G2528:G2529),2)</f>
        <v>5.319999999999999</v>
      </c>
    </row>
    <row r="2531" spans="1:7" ht="12.75">
      <c r="A2531" s="783" t="s">
        <v>440</v>
      </c>
      <c r="B2531" s="784"/>
      <c r="C2531" s="784"/>
      <c r="D2531" s="784"/>
      <c r="E2531" s="784"/>
      <c r="F2531" s="784"/>
      <c r="G2531" s="440">
        <f>ROUNDUP(SUM(G2525:G2527),2)</f>
        <v>5.92</v>
      </c>
    </row>
    <row r="2532" spans="1:7" ht="12.75">
      <c r="A2532" s="783" t="s">
        <v>441</v>
      </c>
      <c r="B2532" s="784"/>
      <c r="C2532" s="784"/>
      <c r="D2532" s="784"/>
      <c r="E2532" s="784"/>
      <c r="F2532" s="784"/>
      <c r="G2532" s="440">
        <f>SUM(G2530:G2531)</f>
        <v>11.239999999999998</v>
      </c>
    </row>
    <row r="2533" spans="1:7" ht="12.75">
      <c r="A2533" s="783" t="s">
        <v>442</v>
      </c>
      <c r="B2533" s="784"/>
      <c r="C2533" s="784"/>
      <c r="D2533" s="784"/>
      <c r="E2533" s="784"/>
      <c r="F2533" s="784"/>
      <c r="G2533" s="440">
        <f>G2530*85.16%</f>
        <v>4.530511999999999</v>
      </c>
    </row>
    <row r="2534" spans="1:7" ht="12.75">
      <c r="A2534" s="783" t="s">
        <v>443</v>
      </c>
      <c r="B2534" s="784"/>
      <c r="C2534" s="784"/>
      <c r="D2534" s="784"/>
      <c r="E2534" s="784"/>
      <c r="F2534" s="784"/>
      <c r="G2534" s="440">
        <f>G2533</f>
        <v>4.530511999999999</v>
      </c>
    </row>
    <row r="2535" spans="1:7" ht="12.75">
      <c r="A2535" s="785" t="s">
        <v>444</v>
      </c>
      <c r="B2535" s="786"/>
      <c r="C2535" s="786"/>
      <c r="D2535" s="786"/>
      <c r="E2535" s="786"/>
      <c r="F2535" s="787"/>
      <c r="G2535" s="440">
        <f>G2531</f>
        <v>5.92</v>
      </c>
    </row>
    <row r="2536" spans="1:7" ht="12.75">
      <c r="A2536" s="785" t="s">
        <v>445</v>
      </c>
      <c r="B2536" s="786"/>
      <c r="C2536" s="786"/>
      <c r="D2536" s="786"/>
      <c r="E2536" s="786"/>
      <c r="F2536" s="787"/>
      <c r="G2536" s="440">
        <f>G2530+G2534</f>
        <v>9.850511999999998</v>
      </c>
    </row>
    <row r="2537" spans="1:7" ht="13.5" customHeight="1">
      <c r="A2537" s="785" t="s">
        <v>446</v>
      </c>
      <c r="B2537" s="786"/>
      <c r="C2537" s="786"/>
      <c r="D2537" s="786"/>
      <c r="E2537" s="786"/>
      <c r="F2537" s="787"/>
      <c r="G2537" s="440">
        <f>SUM(G2535:G2536)</f>
        <v>15.770511999999998</v>
      </c>
    </row>
    <row r="2538" spans="1:7" ht="12.75">
      <c r="A2538" s="796"/>
      <c r="B2538" s="797"/>
      <c r="C2538" s="797"/>
      <c r="D2538" s="797"/>
      <c r="E2538" s="797"/>
      <c r="F2538" s="797"/>
      <c r="G2538" s="798"/>
    </row>
    <row r="2539" spans="1:7" ht="12.75">
      <c r="A2539" s="597" t="s">
        <v>1761</v>
      </c>
      <c r="B2539" s="592"/>
      <c r="C2539" s="592"/>
      <c r="D2539" s="592"/>
      <c r="E2539" s="592"/>
      <c r="F2539" s="592"/>
      <c r="G2539" s="593"/>
    </row>
    <row r="2540" spans="1:7" ht="63.75">
      <c r="A2540" s="171" t="s">
        <v>629</v>
      </c>
      <c r="B2540" s="299" t="s">
        <v>1244</v>
      </c>
      <c r="C2540" s="172" t="s">
        <v>72</v>
      </c>
      <c r="D2540" s="172" t="s">
        <v>75</v>
      </c>
      <c r="E2540" s="373"/>
      <c r="F2540" s="374"/>
      <c r="G2540" s="375"/>
    </row>
    <row r="2541" spans="1:7" ht="25.5">
      <c r="A2541" s="437">
        <v>122</v>
      </c>
      <c r="B2541" s="438" t="s">
        <v>578</v>
      </c>
      <c r="C2541" s="439" t="s">
        <v>73</v>
      </c>
      <c r="D2541" s="439" t="s">
        <v>75</v>
      </c>
      <c r="E2541" s="434">
        <v>0.0099</v>
      </c>
      <c r="F2541" s="435">
        <v>41.55</v>
      </c>
      <c r="G2541" s="436">
        <f aca="true" t="shared" si="34" ref="G2541:G2546">E2541*F2541</f>
        <v>0.411345</v>
      </c>
    </row>
    <row r="2542" spans="1:7" ht="25.5">
      <c r="A2542" s="437">
        <v>20083</v>
      </c>
      <c r="B2542" s="438" t="s">
        <v>580</v>
      </c>
      <c r="C2542" s="439" t="s">
        <v>73</v>
      </c>
      <c r="D2542" s="439" t="s">
        <v>75</v>
      </c>
      <c r="E2542" s="434">
        <v>0.015</v>
      </c>
      <c r="F2542" s="435">
        <v>36.08</v>
      </c>
      <c r="G2542" s="436">
        <f t="shared" si="34"/>
        <v>0.5411999999999999</v>
      </c>
    </row>
    <row r="2543" spans="1:7" ht="25.5">
      <c r="A2543" s="437">
        <v>3517</v>
      </c>
      <c r="B2543" s="438" t="s">
        <v>632</v>
      </c>
      <c r="C2543" s="439" t="s">
        <v>73</v>
      </c>
      <c r="D2543" s="439" t="s">
        <v>75</v>
      </c>
      <c r="E2543" s="434">
        <v>1</v>
      </c>
      <c r="F2543" s="435">
        <v>1.04</v>
      </c>
      <c r="G2543" s="436">
        <f t="shared" si="34"/>
        <v>1.04</v>
      </c>
    </row>
    <row r="2544" spans="1:7" ht="12.75">
      <c r="A2544" s="437">
        <v>38383</v>
      </c>
      <c r="B2544" s="438" t="s">
        <v>584</v>
      </c>
      <c r="C2544" s="439" t="s">
        <v>73</v>
      </c>
      <c r="D2544" s="439" t="s">
        <v>75</v>
      </c>
      <c r="E2544" s="434">
        <v>0.021</v>
      </c>
      <c r="F2544" s="435">
        <v>1.52</v>
      </c>
      <c r="G2544" s="436">
        <f t="shared" si="34"/>
        <v>0.031920000000000004</v>
      </c>
    </row>
    <row r="2545" spans="1:7" ht="38.25">
      <c r="A2545" s="437" t="s">
        <v>1239</v>
      </c>
      <c r="B2545" s="438" t="s">
        <v>493</v>
      </c>
      <c r="C2545" s="439" t="s">
        <v>1245</v>
      </c>
      <c r="D2545" s="439" t="s">
        <v>77</v>
      </c>
      <c r="E2545" s="434">
        <v>0.1</v>
      </c>
      <c r="F2545" s="435">
        <v>12.86</v>
      </c>
      <c r="G2545" s="436">
        <f t="shared" si="34"/>
        <v>1.286</v>
      </c>
    </row>
    <row r="2546" spans="1:7" ht="25.5">
      <c r="A2546" s="437" t="s">
        <v>1240</v>
      </c>
      <c r="B2546" s="438" t="s">
        <v>495</v>
      </c>
      <c r="C2546" s="439" t="s">
        <v>1245</v>
      </c>
      <c r="D2546" s="439" t="s">
        <v>77</v>
      </c>
      <c r="E2546" s="434">
        <v>0.1</v>
      </c>
      <c r="F2546" s="435">
        <v>15.12</v>
      </c>
      <c r="G2546" s="436">
        <f t="shared" si="34"/>
        <v>1.512</v>
      </c>
    </row>
    <row r="2547" spans="1:7" ht="12.75">
      <c r="A2547" s="826" t="s">
        <v>439</v>
      </c>
      <c r="B2547" s="827"/>
      <c r="C2547" s="827"/>
      <c r="D2547" s="827"/>
      <c r="E2547" s="827"/>
      <c r="F2547" s="827"/>
      <c r="G2547" s="440">
        <f>ROUNDUP(SUM(G2545:G2546),2)</f>
        <v>2.8</v>
      </c>
    </row>
    <row r="2548" spans="1:7" ht="12.75">
      <c r="A2548" s="783" t="s">
        <v>440</v>
      </c>
      <c r="B2548" s="784"/>
      <c r="C2548" s="784"/>
      <c r="D2548" s="784"/>
      <c r="E2548" s="784"/>
      <c r="F2548" s="784"/>
      <c r="G2548" s="440">
        <f>ROUNDUP(SUM(G2541:G2544),2)</f>
        <v>2.03</v>
      </c>
    </row>
    <row r="2549" spans="1:7" ht="12.75">
      <c r="A2549" s="783" t="s">
        <v>441</v>
      </c>
      <c r="B2549" s="784"/>
      <c r="C2549" s="784"/>
      <c r="D2549" s="784"/>
      <c r="E2549" s="784"/>
      <c r="F2549" s="784"/>
      <c r="G2549" s="440">
        <f>SUM(G2547:G2548)</f>
        <v>4.83</v>
      </c>
    </row>
    <row r="2550" spans="1:7" ht="12.75">
      <c r="A2550" s="783" t="s">
        <v>442</v>
      </c>
      <c r="B2550" s="784"/>
      <c r="C2550" s="784"/>
      <c r="D2550" s="784"/>
      <c r="E2550" s="784"/>
      <c r="F2550" s="784"/>
      <c r="G2550" s="440">
        <f>G2547*85.16%</f>
        <v>2.3844799999999995</v>
      </c>
    </row>
    <row r="2551" spans="1:7" ht="12.75">
      <c r="A2551" s="783" t="s">
        <v>443</v>
      </c>
      <c r="B2551" s="784"/>
      <c r="C2551" s="784"/>
      <c r="D2551" s="784"/>
      <c r="E2551" s="784"/>
      <c r="F2551" s="784"/>
      <c r="G2551" s="440">
        <f>G2550</f>
        <v>2.3844799999999995</v>
      </c>
    </row>
    <row r="2552" spans="1:7" ht="12.75">
      <c r="A2552" s="785" t="s">
        <v>444</v>
      </c>
      <c r="B2552" s="786"/>
      <c r="C2552" s="786"/>
      <c r="D2552" s="786"/>
      <c r="E2552" s="786"/>
      <c r="F2552" s="787"/>
      <c r="G2552" s="440">
        <f>G2548</f>
        <v>2.03</v>
      </c>
    </row>
    <row r="2553" spans="1:7" ht="12.75">
      <c r="A2553" s="785" t="s">
        <v>445</v>
      </c>
      <c r="B2553" s="786"/>
      <c r="C2553" s="786"/>
      <c r="D2553" s="786"/>
      <c r="E2553" s="786"/>
      <c r="F2553" s="787"/>
      <c r="G2553" s="440">
        <f>G2547+G2551</f>
        <v>5.184479999999999</v>
      </c>
    </row>
    <row r="2554" spans="1:7" ht="12.75">
      <c r="A2554" s="785" t="s">
        <v>446</v>
      </c>
      <c r="B2554" s="786"/>
      <c r="C2554" s="786"/>
      <c r="D2554" s="786"/>
      <c r="E2554" s="786"/>
      <c r="F2554" s="787"/>
      <c r="G2554" s="440">
        <f>SUM(G2552:G2553)</f>
        <v>7.214479999999998</v>
      </c>
    </row>
    <row r="2555" spans="1:7" ht="12.75">
      <c r="A2555" s="804"/>
      <c r="B2555" s="805"/>
      <c r="C2555" s="805"/>
      <c r="D2555" s="805"/>
      <c r="E2555" s="805"/>
      <c r="F2555" s="805"/>
      <c r="G2555" s="806"/>
    </row>
    <row r="2556" spans="1:7" ht="12.75">
      <c r="A2556" s="597" t="s">
        <v>1762</v>
      </c>
      <c r="B2556" s="595"/>
      <c r="C2556" s="595"/>
      <c r="D2556" s="595"/>
      <c r="E2556" s="595"/>
      <c r="F2556" s="595"/>
      <c r="G2556" s="596"/>
    </row>
    <row r="2557" spans="1:7" ht="63.75">
      <c r="A2557" s="171" t="s">
        <v>655</v>
      </c>
      <c r="B2557" s="182" t="s">
        <v>656</v>
      </c>
      <c r="C2557" s="172" t="s">
        <v>72</v>
      </c>
      <c r="D2557" s="172" t="s">
        <v>75</v>
      </c>
      <c r="E2557" s="373"/>
      <c r="F2557" s="374"/>
      <c r="G2557" s="375"/>
    </row>
    <row r="2558" spans="1:7" ht="51">
      <c r="A2558" s="173" t="s">
        <v>639</v>
      </c>
      <c r="B2558" s="174" t="s">
        <v>640</v>
      </c>
      <c r="C2558" s="175" t="s">
        <v>73</v>
      </c>
      <c r="D2558" s="175" t="s">
        <v>75</v>
      </c>
      <c r="E2558" s="434">
        <v>0.046</v>
      </c>
      <c r="F2558" s="435">
        <v>15.21</v>
      </c>
      <c r="G2558" s="436">
        <f>E2558*F2558</f>
        <v>0.6996600000000001</v>
      </c>
    </row>
    <row r="2559" spans="1:7" ht="25.5">
      <c r="A2559" s="173" t="s">
        <v>657</v>
      </c>
      <c r="B2559" s="174" t="s">
        <v>658</v>
      </c>
      <c r="C2559" s="175" t="s">
        <v>73</v>
      </c>
      <c r="D2559" s="175" t="s">
        <v>75</v>
      </c>
      <c r="E2559" s="434">
        <v>1</v>
      </c>
      <c r="F2559" s="435">
        <v>1.75</v>
      </c>
      <c r="G2559" s="436">
        <f>E2559*F2559</f>
        <v>1.75</v>
      </c>
    </row>
    <row r="2560" spans="1:7" ht="25.5">
      <c r="A2560" s="173" t="s">
        <v>659</v>
      </c>
      <c r="B2560" s="174" t="s">
        <v>660</v>
      </c>
      <c r="C2560" s="175" t="s">
        <v>73</v>
      </c>
      <c r="D2560" s="175" t="s">
        <v>75</v>
      </c>
      <c r="E2560" s="434">
        <v>1</v>
      </c>
      <c r="F2560" s="435">
        <v>5.35</v>
      </c>
      <c r="G2560" s="436">
        <f>E2560*F2560</f>
        <v>5.35</v>
      </c>
    </row>
    <row r="2561" spans="1:7" ht="38.25">
      <c r="A2561" s="173" t="s">
        <v>492</v>
      </c>
      <c r="B2561" s="174" t="s">
        <v>493</v>
      </c>
      <c r="C2561" s="175" t="s">
        <v>72</v>
      </c>
      <c r="D2561" s="175" t="s">
        <v>77</v>
      </c>
      <c r="E2561" s="434">
        <v>0.25</v>
      </c>
      <c r="F2561" s="435">
        <v>12.86</v>
      </c>
      <c r="G2561" s="436">
        <f>E2561*F2561</f>
        <v>3.215</v>
      </c>
    </row>
    <row r="2562" spans="1:7" ht="25.5">
      <c r="A2562" s="173" t="s">
        <v>494</v>
      </c>
      <c r="B2562" s="174" t="s">
        <v>495</v>
      </c>
      <c r="C2562" s="175" t="s">
        <v>72</v>
      </c>
      <c r="D2562" s="175" t="s">
        <v>77</v>
      </c>
      <c r="E2562" s="434">
        <v>0.25</v>
      </c>
      <c r="F2562" s="435">
        <v>15.12</v>
      </c>
      <c r="G2562" s="436">
        <f>E2562*F2562</f>
        <v>3.78</v>
      </c>
    </row>
    <row r="2563" spans="1:7" ht="12.75">
      <c r="A2563" s="783" t="s">
        <v>439</v>
      </c>
      <c r="B2563" s="784"/>
      <c r="C2563" s="784"/>
      <c r="D2563" s="784"/>
      <c r="E2563" s="784"/>
      <c r="F2563" s="784"/>
      <c r="G2563" s="440">
        <f>ROUNDUP(SUM(G2561:G2562),2)</f>
        <v>7</v>
      </c>
    </row>
    <row r="2564" spans="1:7" ht="12.75">
      <c r="A2564" s="783" t="s">
        <v>440</v>
      </c>
      <c r="B2564" s="784"/>
      <c r="C2564" s="784"/>
      <c r="D2564" s="784"/>
      <c r="E2564" s="784"/>
      <c r="F2564" s="784"/>
      <c r="G2564" s="440">
        <f>ROUNDUP(SUM(G2558:G2560),2)</f>
        <v>7.8</v>
      </c>
    </row>
    <row r="2565" spans="1:7" ht="12.75">
      <c r="A2565" s="783" t="s">
        <v>441</v>
      </c>
      <c r="B2565" s="784"/>
      <c r="C2565" s="784"/>
      <c r="D2565" s="784"/>
      <c r="E2565" s="784"/>
      <c r="F2565" s="784"/>
      <c r="G2565" s="440">
        <f>SUM(G2563:G2564)</f>
        <v>14.8</v>
      </c>
    </row>
    <row r="2566" spans="1:7" ht="12.75">
      <c r="A2566" s="783" t="s">
        <v>442</v>
      </c>
      <c r="B2566" s="784"/>
      <c r="C2566" s="784"/>
      <c r="D2566" s="784"/>
      <c r="E2566" s="784"/>
      <c r="F2566" s="784"/>
      <c r="G2566" s="440">
        <f>G2563*85.16%</f>
        <v>5.9612</v>
      </c>
    </row>
    <row r="2567" spans="1:7" ht="12.75">
      <c r="A2567" s="783" t="s">
        <v>443</v>
      </c>
      <c r="B2567" s="784"/>
      <c r="C2567" s="784"/>
      <c r="D2567" s="784"/>
      <c r="E2567" s="784"/>
      <c r="F2567" s="784"/>
      <c r="G2567" s="440">
        <f>G2566</f>
        <v>5.9612</v>
      </c>
    </row>
    <row r="2568" spans="1:7" ht="12.75">
      <c r="A2568" s="785" t="s">
        <v>444</v>
      </c>
      <c r="B2568" s="786"/>
      <c r="C2568" s="786"/>
      <c r="D2568" s="786"/>
      <c r="E2568" s="786"/>
      <c r="F2568" s="787"/>
      <c r="G2568" s="440">
        <f>G2564</f>
        <v>7.8</v>
      </c>
    </row>
    <row r="2569" spans="1:7" ht="12.75">
      <c r="A2569" s="785" t="s">
        <v>445</v>
      </c>
      <c r="B2569" s="786"/>
      <c r="C2569" s="786"/>
      <c r="D2569" s="786"/>
      <c r="E2569" s="786"/>
      <c r="F2569" s="787"/>
      <c r="G2569" s="440">
        <f>G2563+G2567</f>
        <v>12.9612</v>
      </c>
    </row>
    <row r="2570" spans="1:7" ht="12.75">
      <c r="A2570" s="785" t="s">
        <v>446</v>
      </c>
      <c r="B2570" s="786"/>
      <c r="C2570" s="786"/>
      <c r="D2570" s="786"/>
      <c r="E2570" s="786"/>
      <c r="F2570" s="787"/>
      <c r="G2570" s="440">
        <f>SUM(G2568:G2569)</f>
        <v>20.7612</v>
      </c>
    </row>
    <row r="2571" spans="1:7" ht="12.75">
      <c r="A2571" s="796"/>
      <c r="B2571" s="797"/>
      <c r="C2571" s="797"/>
      <c r="D2571" s="797"/>
      <c r="E2571" s="797"/>
      <c r="F2571" s="797"/>
      <c r="G2571" s="798"/>
    </row>
    <row r="2572" spans="1:7" ht="12.75">
      <c r="A2572" s="597" t="s">
        <v>1549</v>
      </c>
      <c r="B2572" s="597" t="s">
        <v>1550</v>
      </c>
      <c r="C2572" s="595"/>
      <c r="D2572" s="595"/>
      <c r="E2572" s="595"/>
      <c r="F2572" s="595"/>
      <c r="G2572" s="596"/>
    </row>
    <row r="2573" spans="1:7" ht="12.75">
      <c r="A2573" s="597" t="s">
        <v>1764</v>
      </c>
      <c r="B2573" s="597"/>
      <c r="C2573" s="595"/>
      <c r="D2573" s="595"/>
      <c r="E2573" s="595"/>
      <c r="F2573" s="595"/>
      <c r="G2573" s="596"/>
    </row>
    <row r="2574" spans="1:7" ht="63.75">
      <c r="A2574" s="171" t="s">
        <v>665</v>
      </c>
      <c r="B2574" s="182" t="s">
        <v>666</v>
      </c>
      <c r="C2574" s="172" t="s">
        <v>72</v>
      </c>
      <c r="D2574" s="172" t="s">
        <v>75</v>
      </c>
      <c r="E2574" s="373"/>
      <c r="F2574" s="374"/>
      <c r="G2574" s="375"/>
    </row>
    <row r="2575" spans="1:7" ht="25.5">
      <c r="A2575" s="173" t="s">
        <v>577</v>
      </c>
      <c r="B2575" s="174" t="s">
        <v>578</v>
      </c>
      <c r="C2575" s="175" t="s">
        <v>73</v>
      </c>
      <c r="D2575" s="175" t="s">
        <v>75</v>
      </c>
      <c r="E2575" s="434">
        <v>0.0148</v>
      </c>
      <c r="F2575" s="435">
        <v>41.55</v>
      </c>
      <c r="G2575" s="436">
        <f aca="true" t="shared" si="35" ref="G2575:G2580">E2575*F2575</f>
        <v>0.6149399999999999</v>
      </c>
    </row>
    <row r="2576" spans="1:7" ht="25.5">
      <c r="A2576" s="173" t="s">
        <v>579</v>
      </c>
      <c r="B2576" s="174" t="s">
        <v>580</v>
      </c>
      <c r="C2576" s="175" t="s">
        <v>73</v>
      </c>
      <c r="D2576" s="175" t="s">
        <v>75</v>
      </c>
      <c r="E2576" s="434">
        <v>0.015</v>
      </c>
      <c r="F2576" s="435">
        <v>36.08</v>
      </c>
      <c r="G2576" s="436">
        <f t="shared" si="35"/>
        <v>0.5411999999999999</v>
      </c>
    </row>
    <row r="2577" spans="1:7" ht="38.25">
      <c r="A2577" s="173" t="s">
        <v>667</v>
      </c>
      <c r="B2577" s="174" t="s">
        <v>668</v>
      </c>
      <c r="C2577" s="175" t="s">
        <v>73</v>
      </c>
      <c r="D2577" s="175" t="s">
        <v>75</v>
      </c>
      <c r="E2577" s="434">
        <v>1</v>
      </c>
      <c r="F2577" s="435">
        <v>2.2</v>
      </c>
      <c r="G2577" s="436">
        <f t="shared" si="35"/>
        <v>2.2</v>
      </c>
    </row>
    <row r="2578" spans="1:7" ht="12.75">
      <c r="A2578" s="173" t="s">
        <v>583</v>
      </c>
      <c r="B2578" s="174" t="s">
        <v>584</v>
      </c>
      <c r="C2578" s="175" t="s">
        <v>73</v>
      </c>
      <c r="D2578" s="175" t="s">
        <v>75</v>
      </c>
      <c r="E2578" s="434">
        <v>0.051</v>
      </c>
      <c r="F2578" s="435">
        <v>1.52</v>
      </c>
      <c r="G2578" s="436">
        <f t="shared" si="35"/>
        <v>0.07751999999999999</v>
      </c>
    </row>
    <row r="2579" spans="1:7" ht="38.25">
      <c r="A2579" s="173" t="s">
        <v>492</v>
      </c>
      <c r="B2579" s="174" t="s">
        <v>493</v>
      </c>
      <c r="C2579" s="175" t="s">
        <v>72</v>
      </c>
      <c r="D2579" s="175" t="s">
        <v>77</v>
      </c>
      <c r="E2579" s="434">
        <v>0.14</v>
      </c>
      <c r="F2579" s="435">
        <v>12.86</v>
      </c>
      <c r="G2579" s="436">
        <f t="shared" si="35"/>
        <v>1.8004</v>
      </c>
    </row>
    <row r="2580" spans="1:7" ht="25.5">
      <c r="A2580" s="173" t="s">
        <v>494</v>
      </c>
      <c r="B2580" s="174" t="s">
        <v>495</v>
      </c>
      <c r="C2580" s="175" t="s">
        <v>72</v>
      </c>
      <c r="D2580" s="175" t="s">
        <v>77</v>
      </c>
      <c r="E2580" s="434">
        <v>0.14</v>
      </c>
      <c r="F2580" s="435">
        <v>15.12</v>
      </c>
      <c r="G2580" s="436">
        <f t="shared" si="35"/>
        <v>2.1168</v>
      </c>
    </row>
    <row r="2581" spans="1:7" ht="12.75">
      <c r="A2581" s="783" t="s">
        <v>439</v>
      </c>
      <c r="B2581" s="784"/>
      <c r="C2581" s="784"/>
      <c r="D2581" s="784"/>
      <c r="E2581" s="784"/>
      <c r="F2581" s="784"/>
      <c r="G2581" s="440">
        <f>ROUNDUP(SUM(G2579:G2580),2)</f>
        <v>3.92</v>
      </c>
    </row>
    <row r="2582" spans="1:7" ht="12.75">
      <c r="A2582" s="783" t="s">
        <v>440</v>
      </c>
      <c r="B2582" s="784"/>
      <c r="C2582" s="784"/>
      <c r="D2582" s="784"/>
      <c r="E2582" s="784"/>
      <c r="F2582" s="784"/>
      <c r="G2582" s="440">
        <f>ROUNDUP(SUM(G2575:G2578),2)</f>
        <v>3.44</v>
      </c>
    </row>
    <row r="2583" spans="1:7" ht="12.75">
      <c r="A2583" s="783" t="s">
        <v>441</v>
      </c>
      <c r="B2583" s="784"/>
      <c r="C2583" s="784"/>
      <c r="D2583" s="784"/>
      <c r="E2583" s="784"/>
      <c r="F2583" s="784"/>
      <c r="G2583" s="440">
        <f>SUM(G2581:G2582)</f>
        <v>7.359999999999999</v>
      </c>
    </row>
    <row r="2584" spans="1:7" ht="12.75">
      <c r="A2584" s="783" t="s">
        <v>442</v>
      </c>
      <c r="B2584" s="784"/>
      <c r="C2584" s="784"/>
      <c r="D2584" s="784"/>
      <c r="E2584" s="784"/>
      <c r="F2584" s="784"/>
      <c r="G2584" s="440">
        <f>G2581*85.16%</f>
        <v>3.3382719999999995</v>
      </c>
    </row>
    <row r="2585" spans="1:7" ht="12.75">
      <c r="A2585" s="783" t="s">
        <v>443</v>
      </c>
      <c r="B2585" s="784"/>
      <c r="C2585" s="784"/>
      <c r="D2585" s="784"/>
      <c r="E2585" s="784"/>
      <c r="F2585" s="784"/>
      <c r="G2585" s="440">
        <f>G2584</f>
        <v>3.3382719999999995</v>
      </c>
    </row>
    <row r="2586" spans="1:7" ht="12.75">
      <c r="A2586" s="785" t="s">
        <v>444</v>
      </c>
      <c r="B2586" s="786"/>
      <c r="C2586" s="786"/>
      <c r="D2586" s="786"/>
      <c r="E2586" s="786"/>
      <c r="F2586" s="787"/>
      <c r="G2586" s="440">
        <f>G2582</f>
        <v>3.44</v>
      </c>
    </row>
    <row r="2587" spans="1:7" ht="12.75">
      <c r="A2587" s="785" t="s">
        <v>445</v>
      </c>
      <c r="B2587" s="786"/>
      <c r="C2587" s="786"/>
      <c r="D2587" s="786"/>
      <c r="E2587" s="786"/>
      <c r="F2587" s="787"/>
      <c r="G2587" s="440">
        <f>G2581+G2585</f>
        <v>7.258272</v>
      </c>
    </row>
    <row r="2588" spans="1:7" ht="12.75">
      <c r="A2588" s="785" t="s">
        <v>446</v>
      </c>
      <c r="B2588" s="786"/>
      <c r="C2588" s="786"/>
      <c r="D2588" s="786"/>
      <c r="E2588" s="786"/>
      <c r="F2588" s="787"/>
      <c r="G2588" s="440">
        <f>SUM(G2586:G2587)</f>
        <v>10.698272</v>
      </c>
    </row>
    <row r="2589" spans="1:7" ht="12.75">
      <c r="A2589" s="796"/>
      <c r="B2589" s="797"/>
      <c r="C2589" s="797"/>
      <c r="D2589" s="797"/>
      <c r="E2589" s="797"/>
      <c r="F2589" s="797"/>
      <c r="G2589" s="798"/>
    </row>
    <row r="2590" spans="1:7" ht="12.75">
      <c r="A2590" s="804"/>
      <c r="B2590" s="805"/>
      <c r="C2590" s="805"/>
      <c r="D2590" s="805"/>
      <c r="E2590" s="805"/>
      <c r="F2590" s="805"/>
      <c r="G2590" s="806"/>
    </row>
    <row r="2591" spans="1:7" ht="12.75">
      <c r="A2591" s="597" t="s">
        <v>1765</v>
      </c>
      <c r="B2591" s="595"/>
      <c r="C2591" s="595"/>
      <c r="D2591" s="595"/>
      <c r="E2591" s="595"/>
      <c r="F2591" s="595"/>
      <c r="G2591" s="596"/>
    </row>
    <row r="2592" spans="1:7" ht="63.75">
      <c r="A2592" s="171" t="s">
        <v>669</v>
      </c>
      <c r="B2592" s="182" t="s">
        <v>670</v>
      </c>
      <c r="C2592" s="172" t="s">
        <v>72</v>
      </c>
      <c r="D2592" s="172" t="s">
        <v>75</v>
      </c>
      <c r="E2592" s="373"/>
      <c r="F2592" s="374"/>
      <c r="G2592" s="375"/>
    </row>
    <row r="2593" spans="1:7" ht="51">
      <c r="A2593" s="173" t="s">
        <v>639</v>
      </c>
      <c r="B2593" s="174" t="s">
        <v>640</v>
      </c>
      <c r="C2593" s="175" t="s">
        <v>73</v>
      </c>
      <c r="D2593" s="175" t="s">
        <v>75</v>
      </c>
      <c r="E2593" s="434">
        <v>0.04</v>
      </c>
      <c r="F2593" s="435">
        <v>15.21</v>
      </c>
      <c r="G2593" s="436">
        <f>E2593*F2593</f>
        <v>0.6084</v>
      </c>
    </row>
    <row r="2594" spans="1:7" ht="25.5">
      <c r="A2594" s="173" t="s">
        <v>641</v>
      </c>
      <c r="B2594" s="174" t="s">
        <v>642</v>
      </c>
      <c r="C2594" s="175" t="s">
        <v>73</v>
      </c>
      <c r="D2594" s="175" t="s">
        <v>75</v>
      </c>
      <c r="E2594" s="434">
        <v>2</v>
      </c>
      <c r="F2594" s="435">
        <v>0.98</v>
      </c>
      <c r="G2594" s="436">
        <f>E2594*F2594</f>
        <v>1.96</v>
      </c>
    </row>
    <row r="2595" spans="1:7" ht="25.5">
      <c r="A2595" s="173" t="s">
        <v>671</v>
      </c>
      <c r="B2595" s="174" t="s">
        <v>672</v>
      </c>
      <c r="C2595" s="175" t="s">
        <v>73</v>
      </c>
      <c r="D2595" s="175" t="s">
        <v>75</v>
      </c>
      <c r="E2595" s="434">
        <v>1</v>
      </c>
      <c r="F2595" s="435">
        <v>5.25</v>
      </c>
      <c r="G2595" s="436">
        <f>E2595*F2595</f>
        <v>5.25</v>
      </c>
    </row>
    <row r="2596" spans="1:7" ht="38.25">
      <c r="A2596" s="173" t="s">
        <v>492</v>
      </c>
      <c r="B2596" s="174" t="s">
        <v>493</v>
      </c>
      <c r="C2596" s="175" t="s">
        <v>72</v>
      </c>
      <c r="D2596" s="175" t="s">
        <v>77</v>
      </c>
      <c r="E2596" s="434">
        <v>0.17</v>
      </c>
      <c r="F2596" s="435">
        <v>12.86</v>
      </c>
      <c r="G2596" s="436">
        <f>E2596*F2596</f>
        <v>2.1862</v>
      </c>
    </row>
    <row r="2597" spans="1:7" ht="25.5">
      <c r="A2597" s="173" t="s">
        <v>494</v>
      </c>
      <c r="B2597" s="174" t="s">
        <v>495</v>
      </c>
      <c r="C2597" s="175" t="s">
        <v>72</v>
      </c>
      <c r="D2597" s="175" t="s">
        <v>77</v>
      </c>
      <c r="E2597" s="434">
        <v>0.17</v>
      </c>
      <c r="F2597" s="435">
        <v>15.12</v>
      </c>
      <c r="G2597" s="436">
        <f>E2597*F2597</f>
        <v>2.5704000000000002</v>
      </c>
    </row>
    <row r="2598" spans="1:7" ht="12.75">
      <c r="A2598" s="783" t="s">
        <v>439</v>
      </c>
      <c r="B2598" s="784"/>
      <c r="C2598" s="784"/>
      <c r="D2598" s="784"/>
      <c r="E2598" s="784"/>
      <c r="F2598" s="784"/>
      <c r="G2598" s="440">
        <f>ROUNDUP(SUM(G2596:G2597),2)</f>
        <v>4.76</v>
      </c>
    </row>
    <row r="2599" spans="1:7" ht="12.75">
      <c r="A2599" s="783" t="s">
        <v>440</v>
      </c>
      <c r="B2599" s="784"/>
      <c r="C2599" s="784"/>
      <c r="D2599" s="784"/>
      <c r="E2599" s="784"/>
      <c r="F2599" s="784"/>
      <c r="G2599" s="440">
        <f>ROUNDUP(SUM(G2593:G2595),2)</f>
        <v>7.819999999999999</v>
      </c>
    </row>
    <row r="2600" spans="1:7" ht="12.75">
      <c r="A2600" s="783" t="s">
        <v>441</v>
      </c>
      <c r="B2600" s="784"/>
      <c r="C2600" s="784"/>
      <c r="D2600" s="784"/>
      <c r="E2600" s="784"/>
      <c r="F2600" s="784"/>
      <c r="G2600" s="440">
        <f>SUM(G2598:G2599)</f>
        <v>12.579999999999998</v>
      </c>
    </row>
    <row r="2601" spans="1:7" ht="12.75">
      <c r="A2601" s="783" t="s">
        <v>442</v>
      </c>
      <c r="B2601" s="784"/>
      <c r="C2601" s="784"/>
      <c r="D2601" s="784"/>
      <c r="E2601" s="784"/>
      <c r="F2601" s="784"/>
      <c r="G2601" s="440">
        <f>G2598*85.16%</f>
        <v>4.053615999999999</v>
      </c>
    </row>
    <row r="2602" spans="1:7" ht="12.75">
      <c r="A2602" s="783" t="s">
        <v>443</v>
      </c>
      <c r="B2602" s="784"/>
      <c r="C2602" s="784"/>
      <c r="D2602" s="784"/>
      <c r="E2602" s="784"/>
      <c r="F2602" s="784"/>
      <c r="G2602" s="440">
        <f>G2601</f>
        <v>4.053615999999999</v>
      </c>
    </row>
    <row r="2603" spans="1:7" ht="12.75">
      <c r="A2603" s="785" t="s">
        <v>444</v>
      </c>
      <c r="B2603" s="786"/>
      <c r="C2603" s="786"/>
      <c r="D2603" s="786"/>
      <c r="E2603" s="786"/>
      <c r="F2603" s="787"/>
      <c r="G2603" s="440">
        <f>G2599</f>
        <v>7.819999999999999</v>
      </c>
    </row>
    <row r="2604" spans="1:7" ht="12.75">
      <c r="A2604" s="785" t="s">
        <v>445</v>
      </c>
      <c r="B2604" s="786"/>
      <c r="C2604" s="786"/>
      <c r="D2604" s="786"/>
      <c r="E2604" s="786"/>
      <c r="F2604" s="787"/>
      <c r="G2604" s="440">
        <f>G2598+G2602</f>
        <v>8.813616</v>
      </c>
    </row>
    <row r="2605" spans="1:7" ht="12.75">
      <c r="A2605" s="785" t="s">
        <v>446</v>
      </c>
      <c r="B2605" s="786"/>
      <c r="C2605" s="786"/>
      <c r="D2605" s="786"/>
      <c r="E2605" s="786"/>
      <c r="F2605" s="787"/>
      <c r="G2605" s="440">
        <f>SUM(G2603:G2604)</f>
        <v>16.633616</v>
      </c>
    </row>
    <row r="2606" spans="1:7" ht="12.75">
      <c r="A2606" s="796"/>
      <c r="B2606" s="797"/>
      <c r="C2606" s="797"/>
      <c r="D2606" s="797"/>
      <c r="E2606" s="797"/>
      <c r="F2606" s="797"/>
      <c r="G2606" s="798"/>
    </row>
    <row r="2607" spans="1:7" ht="12.75">
      <c r="A2607" s="804"/>
      <c r="B2607" s="805"/>
      <c r="C2607" s="805"/>
      <c r="D2607" s="805"/>
      <c r="E2607" s="805"/>
      <c r="F2607" s="805"/>
      <c r="G2607" s="806"/>
    </row>
    <row r="2608" spans="1:7" ht="12.75">
      <c r="A2608" s="597" t="s">
        <v>1766</v>
      </c>
      <c r="B2608" s="595"/>
      <c r="C2608" s="595"/>
      <c r="D2608" s="595"/>
      <c r="E2608" s="595"/>
      <c r="F2608" s="595"/>
      <c r="G2608" s="596"/>
    </row>
    <row r="2609" spans="1:7" ht="76.5">
      <c r="A2609" s="171" t="s">
        <v>673</v>
      </c>
      <c r="B2609" s="182" t="s">
        <v>674</v>
      </c>
      <c r="C2609" s="172" t="s">
        <v>72</v>
      </c>
      <c r="D2609" s="172" t="s">
        <v>75</v>
      </c>
      <c r="E2609" s="373"/>
      <c r="F2609" s="374"/>
      <c r="G2609" s="375"/>
    </row>
    <row r="2610" spans="1:7" ht="51">
      <c r="A2610" s="437" t="s">
        <v>639</v>
      </c>
      <c r="B2610" s="438" t="s">
        <v>640</v>
      </c>
      <c r="C2610" s="439" t="s">
        <v>73</v>
      </c>
      <c r="D2610" s="439" t="s">
        <v>75</v>
      </c>
      <c r="E2610" s="434">
        <v>0.092</v>
      </c>
      <c r="F2610" s="435">
        <v>15.21</v>
      </c>
      <c r="G2610" s="436">
        <f>E2610*F2610</f>
        <v>1.3993200000000001</v>
      </c>
    </row>
    <row r="2611" spans="1:7" ht="25.5">
      <c r="A2611" s="437" t="s">
        <v>657</v>
      </c>
      <c r="B2611" s="438" t="s">
        <v>658</v>
      </c>
      <c r="C2611" s="439" t="s">
        <v>73</v>
      </c>
      <c r="D2611" s="439" t="s">
        <v>75</v>
      </c>
      <c r="E2611" s="434">
        <v>2</v>
      </c>
      <c r="F2611" s="435">
        <v>1.75</v>
      </c>
      <c r="G2611" s="436">
        <f>E2611*F2611</f>
        <v>3.5</v>
      </c>
    </row>
    <row r="2612" spans="1:7" ht="38.25">
      <c r="A2612" s="437" t="s">
        <v>675</v>
      </c>
      <c r="B2612" s="438" t="s">
        <v>676</v>
      </c>
      <c r="C2612" s="439" t="s">
        <v>73</v>
      </c>
      <c r="D2612" s="439" t="s">
        <v>75</v>
      </c>
      <c r="E2612" s="434">
        <v>1</v>
      </c>
      <c r="F2612" s="435">
        <v>14.06</v>
      </c>
      <c r="G2612" s="436">
        <f>E2612*F2612</f>
        <v>14.06</v>
      </c>
    </row>
    <row r="2613" spans="1:7" ht="38.25">
      <c r="A2613" s="437" t="s">
        <v>492</v>
      </c>
      <c r="B2613" s="438" t="s">
        <v>493</v>
      </c>
      <c r="C2613" s="439" t="s">
        <v>72</v>
      </c>
      <c r="D2613" s="439" t="s">
        <v>77</v>
      </c>
      <c r="E2613" s="434">
        <v>0.33</v>
      </c>
      <c r="F2613" s="435">
        <v>12.86</v>
      </c>
      <c r="G2613" s="436">
        <f>E2613*F2613</f>
        <v>4.2438</v>
      </c>
    </row>
    <row r="2614" spans="1:7" ht="25.5">
      <c r="A2614" s="437" t="s">
        <v>494</v>
      </c>
      <c r="B2614" s="438" t="s">
        <v>495</v>
      </c>
      <c r="C2614" s="439" t="s">
        <v>72</v>
      </c>
      <c r="D2614" s="439" t="s">
        <v>77</v>
      </c>
      <c r="E2614" s="434">
        <v>0.33</v>
      </c>
      <c r="F2614" s="435">
        <v>15.12</v>
      </c>
      <c r="G2614" s="436">
        <f>E2614*F2614</f>
        <v>4.9896</v>
      </c>
    </row>
    <row r="2615" spans="1:7" ht="12.75">
      <c r="A2615" s="826" t="s">
        <v>439</v>
      </c>
      <c r="B2615" s="827"/>
      <c r="C2615" s="827"/>
      <c r="D2615" s="827"/>
      <c r="E2615" s="827"/>
      <c r="F2615" s="827"/>
      <c r="G2615" s="440">
        <f>ROUNDUP(SUM(G2613:G2614),2)</f>
        <v>9.24</v>
      </c>
    </row>
    <row r="2616" spans="1:7" ht="12.75">
      <c r="A2616" s="783" t="s">
        <v>440</v>
      </c>
      <c r="B2616" s="784"/>
      <c r="C2616" s="784"/>
      <c r="D2616" s="784"/>
      <c r="E2616" s="784"/>
      <c r="F2616" s="784"/>
      <c r="G2616" s="440">
        <f>ROUNDUP(SUM(G2610:G2612),2)</f>
        <v>18.96</v>
      </c>
    </row>
    <row r="2617" spans="1:7" ht="12.75">
      <c r="A2617" s="783" t="s">
        <v>441</v>
      </c>
      <c r="B2617" s="784"/>
      <c r="C2617" s="784"/>
      <c r="D2617" s="784"/>
      <c r="E2617" s="784"/>
      <c r="F2617" s="784"/>
      <c r="G2617" s="440">
        <f>SUM(G2615:G2616)</f>
        <v>28.200000000000003</v>
      </c>
    </row>
    <row r="2618" spans="1:7" ht="12.75">
      <c r="A2618" s="783" t="s">
        <v>442</v>
      </c>
      <c r="B2618" s="784"/>
      <c r="C2618" s="784"/>
      <c r="D2618" s="784"/>
      <c r="E2618" s="784"/>
      <c r="F2618" s="784"/>
      <c r="G2618" s="440">
        <f>G2615*85.16%</f>
        <v>7.868784</v>
      </c>
    </row>
    <row r="2619" spans="1:7" ht="12.75">
      <c r="A2619" s="783" t="s">
        <v>443</v>
      </c>
      <c r="B2619" s="784"/>
      <c r="C2619" s="784"/>
      <c r="D2619" s="784"/>
      <c r="E2619" s="784"/>
      <c r="F2619" s="784"/>
      <c r="G2619" s="440">
        <f>G2618</f>
        <v>7.868784</v>
      </c>
    </row>
    <row r="2620" spans="1:7" ht="12.75">
      <c r="A2620" s="785" t="s">
        <v>444</v>
      </c>
      <c r="B2620" s="786"/>
      <c r="C2620" s="786"/>
      <c r="D2620" s="786"/>
      <c r="E2620" s="786"/>
      <c r="F2620" s="787"/>
      <c r="G2620" s="440">
        <f>G2616</f>
        <v>18.96</v>
      </c>
    </row>
    <row r="2621" spans="1:7" ht="12.75">
      <c r="A2621" s="785" t="s">
        <v>445</v>
      </c>
      <c r="B2621" s="786"/>
      <c r="C2621" s="786"/>
      <c r="D2621" s="786"/>
      <c r="E2621" s="786"/>
      <c r="F2621" s="787"/>
      <c r="G2621" s="440">
        <f>G2615+G2619</f>
        <v>17.108784</v>
      </c>
    </row>
    <row r="2622" spans="1:7" ht="12.75">
      <c r="A2622" s="785" t="s">
        <v>446</v>
      </c>
      <c r="B2622" s="786"/>
      <c r="C2622" s="786"/>
      <c r="D2622" s="786"/>
      <c r="E2622" s="786"/>
      <c r="F2622" s="787"/>
      <c r="G2622" s="440">
        <f>SUM(G2620:G2621)</f>
        <v>36.068784</v>
      </c>
    </row>
    <row r="2623" spans="1:7" ht="12.75">
      <c r="A2623" s="796"/>
      <c r="B2623" s="797"/>
      <c r="C2623" s="797"/>
      <c r="D2623" s="797"/>
      <c r="E2623" s="797"/>
      <c r="F2623" s="797"/>
      <c r="G2623" s="798"/>
    </row>
    <row r="2624" spans="1:7" ht="12.75">
      <c r="A2624" s="597" t="s">
        <v>1767</v>
      </c>
      <c r="B2624" s="592"/>
      <c r="C2624" s="592"/>
      <c r="D2624" s="592"/>
      <c r="E2624" s="592"/>
      <c r="F2624" s="592"/>
      <c r="G2624" s="593"/>
    </row>
    <row r="2625" spans="1:7" ht="25.5">
      <c r="A2625" s="171" t="s">
        <v>689</v>
      </c>
      <c r="B2625" s="182" t="s">
        <v>260</v>
      </c>
      <c r="C2625" s="172" t="s">
        <v>72</v>
      </c>
      <c r="D2625" s="172" t="s">
        <v>75</v>
      </c>
      <c r="E2625" s="373"/>
      <c r="F2625" s="374"/>
      <c r="G2625" s="375"/>
    </row>
    <row r="2626" spans="1:7" ht="51">
      <c r="A2626" s="173" t="s">
        <v>639</v>
      </c>
      <c r="B2626" s="174" t="s">
        <v>640</v>
      </c>
      <c r="C2626" s="175" t="s">
        <v>73</v>
      </c>
      <c r="D2626" s="175" t="s">
        <v>75</v>
      </c>
      <c r="E2626" s="434">
        <v>0.1</v>
      </c>
      <c r="F2626" s="435">
        <v>15.21</v>
      </c>
      <c r="G2626" s="436">
        <f aca="true" t="shared" si="36" ref="G2626:G2631">E2626*F2626</f>
        <v>1.5210000000000001</v>
      </c>
    </row>
    <row r="2627" spans="1:7" ht="25.5">
      <c r="A2627" s="173" t="s">
        <v>641</v>
      </c>
      <c r="B2627" s="174" t="s">
        <v>642</v>
      </c>
      <c r="C2627" s="175" t="s">
        <v>73</v>
      </c>
      <c r="D2627" s="175" t="s">
        <v>75</v>
      </c>
      <c r="E2627" s="434">
        <v>1</v>
      </c>
      <c r="F2627" s="435">
        <v>0.98</v>
      </c>
      <c r="G2627" s="436">
        <f t="shared" si="36"/>
        <v>0.98</v>
      </c>
    </row>
    <row r="2628" spans="1:7" ht="25.5">
      <c r="A2628" s="173" t="s">
        <v>657</v>
      </c>
      <c r="B2628" s="174" t="s">
        <v>658</v>
      </c>
      <c r="C2628" s="175" t="s">
        <v>73</v>
      </c>
      <c r="D2628" s="175" t="s">
        <v>75</v>
      </c>
      <c r="E2628" s="434">
        <v>1</v>
      </c>
      <c r="F2628" s="435">
        <v>1.75</v>
      </c>
      <c r="G2628" s="436">
        <f t="shared" si="36"/>
        <v>1.75</v>
      </c>
    </row>
    <row r="2629" spans="1:7" ht="25.5">
      <c r="A2629" s="173" t="s">
        <v>690</v>
      </c>
      <c r="B2629" s="174" t="s">
        <v>691</v>
      </c>
      <c r="C2629" s="175" t="s">
        <v>73</v>
      </c>
      <c r="D2629" s="175" t="s">
        <v>75</v>
      </c>
      <c r="E2629" s="434">
        <v>1</v>
      </c>
      <c r="F2629" s="435">
        <v>10.16</v>
      </c>
      <c r="G2629" s="436">
        <f t="shared" si="36"/>
        <v>10.16</v>
      </c>
    </row>
    <row r="2630" spans="1:7" ht="38.25">
      <c r="A2630" s="173" t="s">
        <v>492</v>
      </c>
      <c r="B2630" s="174" t="s">
        <v>493</v>
      </c>
      <c r="C2630" s="175" t="s">
        <v>72</v>
      </c>
      <c r="D2630" s="175" t="s">
        <v>77</v>
      </c>
      <c r="E2630" s="434">
        <v>0.46</v>
      </c>
      <c r="F2630" s="435">
        <v>12.86</v>
      </c>
      <c r="G2630" s="436">
        <f t="shared" si="36"/>
        <v>5.9156</v>
      </c>
    </row>
    <row r="2631" spans="1:7" ht="25.5">
      <c r="A2631" s="173" t="s">
        <v>494</v>
      </c>
      <c r="B2631" s="174" t="s">
        <v>495</v>
      </c>
      <c r="C2631" s="175" t="s">
        <v>72</v>
      </c>
      <c r="D2631" s="175" t="s">
        <v>77</v>
      </c>
      <c r="E2631" s="434">
        <v>0.46</v>
      </c>
      <c r="F2631" s="435">
        <v>15.12</v>
      </c>
      <c r="G2631" s="436">
        <f t="shared" si="36"/>
        <v>6.9552</v>
      </c>
    </row>
    <row r="2632" spans="1:7" ht="12.75">
      <c r="A2632" s="783" t="s">
        <v>439</v>
      </c>
      <c r="B2632" s="784"/>
      <c r="C2632" s="784"/>
      <c r="D2632" s="784"/>
      <c r="E2632" s="784"/>
      <c r="F2632" s="784"/>
      <c r="G2632" s="440">
        <f>ROUNDUP(SUM(G2630:G2631),2)</f>
        <v>12.879999999999999</v>
      </c>
    </row>
    <row r="2633" spans="1:7" ht="12.75">
      <c r="A2633" s="783" t="s">
        <v>440</v>
      </c>
      <c r="B2633" s="784"/>
      <c r="C2633" s="784"/>
      <c r="D2633" s="784"/>
      <c r="E2633" s="784"/>
      <c r="F2633" s="784"/>
      <c r="G2633" s="440">
        <f>ROUNDUP(SUM(G2626:G2629),2)</f>
        <v>14.42</v>
      </c>
    </row>
    <row r="2634" spans="1:7" ht="12.75">
      <c r="A2634" s="783" t="s">
        <v>441</v>
      </c>
      <c r="B2634" s="784"/>
      <c r="C2634" s="784"/>
      <c r="D2634" s="784"/>
      <c r="E2634" s="784"/>
      <c r="F2634" s="784"/>
      <c r="G2634" s="440">
        <f>SUM(G2632:G2633)</f>
        <v>27.299999999999997</v>
      </c>
    </row>
    <row r="2635" spans="1:7" ht="12.75">
      <c r="A2635" s="783" t="s">
        <v>442</v>
      </c>
      <c r="B2635" s="784"/>
      <c r="C2635" s="784"/>
      <c r="D2635" s="784"/>
      <c r="E2635" s="784"/>
      <c r="F2635" s="784"/>
      <c r="G2635" s="440">
        <f>G2632*85.16%</f>
        <v>10.968607999999998</v>
      </c>
    </row>
    <row r="2636" spans="1:7" ht="12.75">
      <c r="A2636" s="783" t="s">
        <v>443</v>
      </c>
      <c r="B2636" s="784"/>
      <c r="C2636" s="784"/>
      <c r="D2636" s="784"/>
      <c r="E2636" s="784"/>
      <c r="F2636" s="784"/>
      <c r="G2636" s="440">
        <f>G2635</f>
        <v>10.968607999999998</v>
      </c>
    </row>
    <row r="2637" spans="1:7" ht="12.75">
      <c r="A2637" s="785" t="s">
        <v>444</v>
      </c>
      <c r="B2637" s="786"/>
      <c r="C2637" s="786"/>
      <c r="D2637" s="786"/>
      <c r="E2637" s="786"/>
      <c r="F2637" s="787"/>
      <c r="G2637" s="440">
        <f>G2633</f>
        <v>14.42</v>
      </c>
    </row>
    <row r="2638" spans="1:7" ht="12.75">
      <c r="A2638" s="785" t="s">
        <v>445</v>
      </c>
      <c r="B2638" s="786"/>
      <c r="C2638" s="786"/>
      <c r="D2638" s="786"/>
      <c r="E2638" s="786"/>
      <c r="F2638" s="787"/>
      <c r="G2638" s="440">
        <f>G2632+G2636</f>
        <v>23.848608</v>
      </c>
    </row>
    <row r="2639" spans="1:7" ht="12.75">
      <c r="A2639" s="785" t="s">
        <v>446</v>
      </c>
      <c r="B2639" s="786"/>
      <c r="C2639" s="786"/>
      <c r="D2639" s="786"/>
      <c r="E2639" s="786"/>
      <c r="F2639" s="787"/>
      <c r="G2639" s="440">
        <f>SUM(G2637:G2638)</f>
        <v>38.268608</v>
      </c>
    </row>
    <row r="2640" spans="1:7" ht="12.75">
      <c r="A2640" s="796"/>
      <c r="B2640" s="797"/>
      <c r="C2640" s="797"/>
      <c r="D2640" s="797"/>
      <c r="E2640" s="797"/>
      <c r="F2640" s="797"/>
      <c r="G2640" s="798"/>
    </row>
    <row r="2641" spans="1:7" ht="12.75">
      <c r="A2641" s="491" t="s">
        <v>83</v>
      </c>
      <c r="B2641" s="799" t="s">
        <v>1283</v>
      </c>
      <c r="C2641" s="799"/>
      <c r="D2641" s="799"/>
      <c r="E2641" s="799"/>
      <c r="F2641" s="799"/>
      <c r="G2641" s="800"/>
    </row>
    <row r="2642" spans="1:7" ht="12.75">
      <c r="A2642" s="804"/>
      <c r="B2642" s="805"/>
      <c r="C2642" s="805"/>
      <c r="D2642" s="805"/>
      <c r="E2642" s="805"/>
      <c r="F2642" s="805"/>
      <c r="G2642" s="806"/>
    </row>
    <row r="2643" spans="1:7" ht="12.75">
      <c r="A2643" s="594"/>
      <c r="B2643" s="595"/>
      <c r="C2643" s="595"/>
      <c r="D2643" s="595"/>
      <c r="E2643" s="595"/>
      <c r="F2643" s="595"/>
      <c r="G2643" s="596"/>
    </row>
    <row r="2644" spans="1:7" ht="12.75">
      <c r="A2644" s="594"/>
      <c r="B2644" s="595"/>
      <c r="C2644" s="595"/>
      <c r="D2644" s="595"/>
      <c r="E2644" s="595"/>
      <c r="F2644" s="595"/>
      <c r="G2644" s="596"/>
    </row>
    <row r="2645" spans="1:7" ht="12.75">
      <c r="A2645" s="597" t="s">
        <v>1553</v>
      </c>
      <c r="B2645" s="597" t="s">
        <v>1554</v>
      </c>
      <c r="C2645" s="595"/>
      <c r="D2645" s="595"/>
      <c r="E2645" s="595"/>
      <c r="F2645" s="595"/>
      <c r="G2645" s="596"/>
    </row>
    <row r="2646" spans="1:7" ht="12.75">
      <c r="A2646" s="597" t="s">
        <v>1769</v>
      </c>
      <c r="B2646" s="597"/>
      <c r="C2646" s="595"/>
      <c r="D2646" s="595"/>
      <c r="E2646" s="595"/>
      <c r="F2646" s="595"/>
      <c r="G2646" s="596"/>
    </row>
    <row r="2647" spans="1:7" ht="25.5">
      <c r="A2647" s="171" t="s">
        <v>692</v>
      </c>
      <c r="B2647" s="182" t="s">
        <v>261</v>
      </c>
      <c r="C2647" s="172" t="s">
        <v>72</v>
      </c>
      <c r="D2647" s="172" t="s">
        <v>75</v>
      </c>
      <c r="E2647" s="373"/>
      <c r="F2647" s="374"/>
      <c r="G2647" s="375"/>
    </row>
    <row r="2648" spans="1:7" ht="51">
      <c r="A2648" s="173" t="s">
        <v>639</v>
      </c>
      <c r="B2648" s="174" t="s">
        <v>640</v>
      </c>
      <c r="C2648" s="175" t="s">
        <v>73</v>
      </c>
      <c r="D2648" s="175" t="s">
        <v>75</v>
      </c>
      <c r="E2648" s="434">
        <v>0.1</v>
      </c>
      <c r="F2648" s="435">
        <v>15.21</v>
      </c>
      <c r="G2648" s="436">
        <f aca="true" t="shared" si="37" ref="G2648:G2653">E2648*F2648</f>
        <v>1.5210000000000001</v>
      </c>
    </row>
    <row r="2649" spans="1:7" ht="25.5">
      <c r="A2649" s="173" t="s">
        <v>641</v>
      </c>
      <c r="B2649" s="174" t="s">
        <v>642</v>
      </c>
      <c r="C2649" s="175" t="s">
        <v>73</v>
      </c>
      <c r="D2649" s="175" t="s">
        <v>75</v>
      </c>
      <c r="E2649" s="434">
        <v>1</v>
      </c>
      <c r="F2649" s="435">
        <v>0.98</v>
      </c>
      <c r="G2649" s="436">
        <f t="shared" si="37"/>
        <v>0.98</v>
      </c>
    </row>
    <row r="2650" spans="1:7" ht="25.5">
      <c r="A2650" s="173" t="s">
        <v>651</v>
      </c>
      <c r="B2650" s="174" t="s">
        <v>652</v>
      </c>
      <c r="C2650" s="175" t="s">
        <v>73</v>
      </c>
      <c r="D2650" s="175" t="s">
        <v>75</v>
      </c>
      <c r="E2650" s="434">
        <v>1</v>
      </c>
      <c r="F2650" s="435">
        <v>1.39</v>
      </c>
      <c r="G2650" s="436">
        <f t="shared" si="37"/>
        <v>1.39</v>
      </c>
    </row>
    <row r="2651" spans="1:7" ht="25.5">
      <c r="A2651" s="173" t="s">
        <v>693</v>
      </c>
      <c r="B2651" s="174" t="s">
        <v>694</v>
      </c>
      <c r="C2651" s="175" t="s">
        <v>73</v>
      </c>
      <c r="D2651" s="175" t="s">
        <v>75</v>
      </c>
      <c r="E2651" s="434">
        <v>1.015</v>
      </c>
      <c r="F2651" s="435">
        <v>7.8</v>
      </c>
      <c r="G2651" s="436">
        <f t="shared" si="37"/>
        <v>7.916999999999999</v>
      </c>
    </row>
    <row r="2652" spans="1:7" ht="38.25">
      <c r="A2652" s="173" t="s">
        <v>492</v>
      </c>
      <c r="B2652" s="174" t="s">
        <v>493</v>
      </c>
      <c r="C2652" s="175" t="s">
        <v>72</v>
      </c>
      <c r="D2652" s="175" t="s">
        <v>77</v>
      </c>
      <c r="E2652" s="434">
        <v>0.46</v>
      </c>
      <c r="F2652" s="435">
        <v>12.86</v>
      </c>
      <c r="G2652" s="436">
        <f t="shared" si="37"/>
        <v>5.9156</v>
      </c>
    </row>
    <row r="2653" spans="1:7" ht="25.5">
      <c r="A2653" s="173" t="s">
        <v>494</v>
      </c>
      <c r="B2653" s="174" t="s">
        <v>495</v>
      </c>
      <c r="C2653" s="175" t="s">
        <v>72</v>
      </c>
      <c r="D2653" s="175" t="s">
        <v>77</v>
      </c>
      <c r="E2653" s="434">
        <v>0.46</v>
      </c>
      <c r="F2653" s="435">
        <v>15.12</v>
      </c>
      <c r="G2653" s="436">
        <f t="shared" si="37"/>
        <v>6.9552</v>
      </c>
    </row>
    <row r="2654" spans="1:7" ht="12.75">
      <c r="A2654" s="783" t="s">
        <v>439</v>
      </c>
      <c r="B2654" s="784"/>
      <c r="C2654" s="784"/>
      <c r="D2654" s="784"/>
      <c r="E2654" s="784"/>
      <c r="F2654" s="784"/>
      <c r="G2654" s="440">
        <f>ROUNDUP(SUM(G2652:G2653),2)</f>
        <v>12.879999999999999</v>
      </c>
    </row>
    <row r="2655" spans="1:7" ht="12.75">
      <c r="A2655" s="783" t="s">
        <v>440</v>
      </c>
      <c r="B2655" s="784"/>
      <c r="C2655" s="784"/>
      <c r="D2655" s="784"/>
      <c r="E2655" s="784"/>
      <c r="F2655" s="784"/>
      <c r="G2655" s="440">
        <f>ROUNDUP(SUM(G2648:G2651),2)</f>
        <v>11.81</v>
      </c>
    </row>
    <row r="2656" spans="1:7" ht="12.75">
      <c r="A2656" s="783" t="s">
        <v>441</v>
      </c>
      <c r="B2656" s="784"/>
      <c r="C2656" s="784"/>
      <c r="D2656" s="784"/>
      <c r="E2656" s="784"/>
      <c r="F2656" s="784"/>
      <c r="G2656" s="440">
        <f>SUM(G2654:G2655)</f>
        <v>24.689999999999998</v>
      </c>
    </row>
    <row r="2657" spans="1:7" ht="12.75">
      <c r="A2657" s="783" t="s">
        <v>442</v>
      </c>
      <c r="B2657" s="784"/>
      <c r="C2657" s="784"/>
      <c r="D2657" s="784"/>
      <c r="E2657" s="784"/>
      <c r="F2657" s="784"/>
      <c r="G2657" s="440">
        <f>G2654*85.16%</f>
        <v>10.968607999999998</v>
      </c>
    </row>
    <row r="2658" spans="1:7" ht="12.75">
      <c r="A2658" s="783" t="s">
        <v>443</v>
      </c>
      <c r="B2658" s="784"/>
      <c r="C2658" s="784"/>
      <c r="D2658" s="784"/>
      <c r="E2658" s="784"/>
      <c r="F2658" s="784"/>
      <c r="G2658" s="440">
        <f>G2657</f>
        <v>10.968607999999998</v>
      </c>
    </row>
    <row r="2659" spans="1:7" ht="12.75">
      <c r="A2659" s="785" t="s">
        <v>444</v>
      </c>
      <c r="B2659" s="786"/>
      <c r="C2659" s="786"/>
      <c r="D2659" s="786"/>
      <c r="E2659" s="786"/>
      <c r="F2659" s="787"/>
      <c r="G2659" s="440">
        <f>G2655</f>
        <v>11.81</v>
      </c>
    </row>
    <row r="2660" spans="1:7" ht="12.75">
      <c r="A2660" s="785" t="s">
        <v>445</v>
      </c>
      <c r="B2660" s="786"/>
      <c r="C2660" s="786"/>
      <c r="D2660" s="786"/>
      <c r="E2660" s="786"/>
      <c r="F2660" s="787"/>
      <c r="G2660" s="440">
        <f>G2654+G2658</f>
        <v>23.848608</v>
      </c>
    </row>
    <row r="2661" spans="1:7" ht="12.75">
      <c r="A2661" s="785" t="s">
        <v>446</v>
      </c>
      <c r="B2661" s="786"/>
      <c r="C2661" s="786"/>
      <c r="D2661" s="786"/>
      <c r="E2661" s="786"/>
      <c r="F2661" s="787"/>
      <c r="G2661" s="440">
        <f>SUM(G2659:G2660)</f>
        <v>35.658608</v>
      </c>
    </row>
    <row r="2662" spans="1:7" ht="12.75">
      <c r="A2662" s="796"/>
      <c r="B2662" s="797"/>
      <c r="C2662" s="797"/>
      <c r="D2662" s="797"/>
      <c r="E2662" s="797"/>
      <c r="F2662" s="797"/>
      <c r="G2662" s="798"/>
    </row>
    <row r="2663" spans="1:7" ht="12.75">
      <c r="A2663" s="491" t="s">
        <v>83</v>
      </c>
      <c r="B2663" s="799" t="s">
        <v>1284</v>
      </c>
      <c r="C2663" s="799"/>
      <c r="D2663" s="799"/>
      <c r="E2663" s="799"/>
      <c r="F2663" s="799"/>
      <c r="G2663" s="800"/>
    </row>
    <row r="2664" spans="1:7" ht="12.75">
      <c r="A2664" s="804"/>
      <c r="B2664" s="805"/>
      <c r="C2664" s="805"/>
      <c r="D2664" s="805"/>
      <c r="E2664" s="805"/>
      <c r="F2664" s="805"/>
      <c r="G2664" s="806"/>
    </row>
    <row r="2665" spans="1:7" ht="12.75">
      <c r="A2665" s="597" t="s">
        <v>1770</v>
      </c>
      <c r="B2665" s="595"/>
      <c r="C2665" s="595"/>
      <c r="D2665" s="595"/>
      <c r="E2665" s="595"/>
      <c r="F2665" s="595"/>
      <c r="G2665" s="596"/>
    </row>
    <row r="2666" spans="1:7" ht="25.5">
      <c r="A2666" s="171" t="s">
        <v>695</v>
      </c>
      <c r="B2666" s="182" t="s">
        <v>262</v>
      </c>
      <c r="C2666" s="172" t="s">
        <v>72</v>
      </c>
      <c r="D2666" s="172" t="s">
        <v>75</v>
      </c>
      <c r="E2666" s="373"/>
      <c r="F2666" s="374"/>
      <c r="G2666" s="375"/>
    </row>
    <row r="2667" spans="1:7" ht="51">
      <c r="A2667" s="173" t="s">
        <v>639</v>
      </c>
      <c r="B2667" s="174" t="s">
        <v>640</v>
      </c>
      <c r="C2667" s="175" t="s">
        <v>73</v>
      </c>
      <c r="D2667" s="175" t="s">
        <v>75</v>
      </c>
      <c r="E2667" s="434">
        <v>0.1</v>
      </c>
      <c r="F2667" s="435">
        <v>15.21</v>
      </c>
      <c r="G2667" s="436">
        <f aca="true" t="shared" si="38" ref="G2667:G2672">E2667*F2667</f>
        <v>1.5210000000000001</v>
      </c>
    </row>
    <row r="2668" spans="1:7" ht="25.5">
      <c r="A2668" s="173" t="s">
        <v>641</v>
      </c>
      <c r="B2668" s="174" t="s">
        <v>642</v>
      </c>
      <c r="C2668" s="175" t="s">
        <v>73</v>
      </c>
      <c r="D2668" s="175" t="s">
        <v>75</v>
      </c>
      <c r="E2668" s="434">
        <v>1</v>
      </c>
      <c r="F2668" s="435">
        <v>0.98</v>
      </c>
      <c r="G2668" s="436">
        <f t="shared" si="38"/>
        <v>0.98</v>
      </c>
    </row>
    <row r="2669" spans="1:7" ht="25.5">
      <c r="A2669" s="173" t="s">
        <v>651</v>
      </c>
      <c r="B2669" s="174" t="s">
        <v>652</v>
      </c>
      <c r="C2669" s="175" t="s">
        <v>73</v>
      </c>
      <c r="D2669" s="175" t="s">
        <v>75</v>
      </c>
      <c r="E2669" s="434">
        <v>1</v>
      </c>
      <c r="F2669" s="435">
        <v>1.39</v>
      </c>
      <c r="G2669" s="436">
        <f t="shared" si="38"/>
        <v>1.39</v>
      </c>
    </row>
    <row r="2670" spans="1:7" ht="38.25">
      <c r="A2670" s="173" t="s">
        <v>696</v>
      </c>
      <c r="B2670" s="174" t="s">
        <v>697</v>
      </c>
      <c r="C2670" s="175" t="s">
        <v>73</v>
      </c>
      <c r="D2670" s="175" t="s">
        <v>75</v>
      </c>
      <c r="E2670" s="434">
        <v>1.015</v>
      </c>
      <c r="F2670" s="435">
        <v>28.3</v>
      </c>
      <c r="G2670" s="436">
        <f t="shared" si="38"/>
        <v>28.7245</v>
      </c>
    </row>
    <row r="2671" spans="1:7" ht="38.25">
      <c r="A2671" s="173" t="s">
        <v>492</v>
      </c>
      <c r="B2671" s="174" t="s">
        <v>493</v>
      </c>
      <c r="C2671" s="175" t="s">
        <v>72</v>
      </c>
      <c r="D2671" s="175" t="s">
        <v>77</v>
      </c>
      <c r="E2671" s="434">
        <v>0.37</v>
      </c>
      <c r="F2671" s="435">
        <v>12.86</v>
      </c>
      <c r="G2671" s="436">
        <f t="shared" si="38"/>
        <v>4.7581999999999995</v>
      </c>
    </row>
    <row r="2672" spans="1:7" ht="25.5">
      <c r="A2672" s="173" t="s">
        <v>494</v>
      </c>
      <c r="B2672" s="174" t="s">
        <v>495</v>
      </c>
      <c r="C2672" s="175" t="s">
        <v>72</v>
      </c>
      <c r="D2672" s="175" t="s">
        <v>77</v>
      </c>
      <c r="E2672" s="434">
        <v>0.37</v>
      </c>
      <c r="F2672" s="435">
        <v>15.12</v>
      </c>
      <c r="G2672" s="436">
        <f t="shared" si="38"/>
        <v>5.594399999999999</v>
      </c>
    </row>
    <row r="2673" spans="1:7" ht="12.75">
      <c r="A2673" s="783" t="s">
        <v>439</v>
      </c>
      <c r="B2673" s="784"/>
      <c r="C2673" s="784"/>
      <c r="D2673" s="784"/>
      <c r="E2673" s="784"/>
      <c r="F2673" s="784"/>
      <c r="G2673" s="440">
        <f>ROUNDUP(SUM(G2671:G2672),2)</f>
        <v>10.36</v>
      </c>
    </row>
    <row r="2674" spans="1:7" ht="12.75">
      <c r="A2674" s="783" t="s">
        <v>440</v>
      </c>
      <c r="B2674" s="784"/>
      <c r="C2674" s="784"/>
      <c r="D2674" s="784"/>
      <c r="E2674" s="784"/>
      <c r="F2674" s="784"/>
      <c r="G2674" s="440">
        <f>ROUNDUP(SUM(G2667:G2670),2)</f>
        <v>32.62</v>
      </c>
    </row>
    <row r="2675" spans="1:7" ht="12.75">
      <c r="A2675" s="783" t="s">
        <v>441</v>
      </c>
      <c r="B2675" s="784"/>
      <c r="C2675" s="784"/>
      <c r="D2675" s="784"/>
      <c r="E2675" s="784"/>
      <c r="F2675" s="784"/>
      <c r="G2675" s="440">
        <f>SUM(G2673:G2674)</f>
        <v>42.98</v>
      </c>
    </row>
    <row r="2676" spans="1:7" ht="12.75">
      <c r="A2676" s="783" t="s">
        <v>442</v>
      </c>
      <c r="B2676" s="784"/>
      <c r="C2676" s="784"/>
      <c r="D2676" s="784"/>
      <c r="E2676" s="784"/>
      <c r="F2676" s="784"/>
      <c r="G2676" s="440">
        <f>G2673*85.16%</f>
        <v>8.822575999999998</v>
      </c>
    </row>
    <row r="2677" spans="1:7" ht="12.75">
      <c r="A2677" s="783" t="s">
        <v>443</v>
      </c>
      <c r="B2677" s="784"/>
      <c r="C2677" s="784"/>
      <c r="D2677" s="784"/>
      <c r="E2677" s="784"/>
      <c r="F2677" s="784"/>
      <c r="G2677" s="440">
        <f>G2676</f>
        <v>8.822575999999998</v>
      </c>
    </row>
    <row r="2678" spans="1:7" ht="12.75">
      <c r="A2678" s="785" t="s">
        <v>444</v>
      </c>
      <c r="B2678" s="786"/>
      <c r="C2678" s="786"/>
      <c r="D2678" s="786"/>
      <c r="E2678" s="786"/>
      <c r="F2678" s="787"/>
      <c r="G2678" s="440">
        <f>G2674</f>
        <v>32.62</v>
      </c>
    </row>
    <row r="2679" spans="1:7" ht="12.75">
      <c r="A2679" s="785" t="s">
        <v>445</v>
      </c>
      <c r="B2679" s="786"/>
      <c r="C2679" s="786"/>
      <c r="D2679" s="786"/>
      <c r="E2679" s="786"/>
      <c r="F2679" s="787"/>
      <c r="G2679" s="440">
        <f>G2673+G2677</f>
        <v>19.182575999999997</v>
      </c>
    </row>
    <row r="2680" spans="1:7" ht="12.75">
      <c r="A2680" s="785" t="s">
        <v>446</v>
      </c>
      <c r="B2680" s="786"/>
      <c r="C2680" s="786"/>
      <c r="D2680" s="786"/>
      <c r="E2680" s="786"/>
      <c r="F2680" s="787"/>
      <c r="G2680" s="440">
        <f>SUM(G2678:G2679)</f>
        <v>51.802575999999995</v>
      </c>
    </row>
    <row r="2681" spans="1:7" ht="12.75">
      <c r="A2681" s="796"/>
      <c r="B2681" s="797"/>
      <c r="C2681" s="797"/>
      <c r="D2681" s="797"/>
      <c r="E2681" s="797"/>
      <c r="F2681" s="797"/>
      <c r="G2681" s="798"/>
    </row>
    <row r="2682" spans="1:7" ht="12.75">
      <c r="A2682" s="491" t="s">
        <v>83</v>
      </c>
      <c r="B2682" s="799" t="s">
        <v>1285</v>
      </c>
      <c r="C2682" s="799"/>
      <c r="D2682" s="799"/>
      <c r="E2682" s="799"/>
      <c r="F2682" s="799"/>
      <c r="G2682" s="800"/>
    </row>
    <row r="2683" spans="1:7" ht="12.75">
      <c r="A2683" s="804"/>
      <c r="B2683" s="805"/>
      <c r="C2683" s="805"/>
      <c r="D2683" s="805"/>
      <c r="E2683" s="805"/>
      <c r="F2683" s="805"/>
      <c r="G2683" s="806"/>
    </row>
    <row r="2684" spans="1:7" ht="12.75">
      <c r="A2684" s="594"/>
      <c r="B2684" s="595"/>
      <c r="C2684" s="595"/>
      <c r="D2684" s="595"/>
      <c r="E2684" s="595"/>
      <c r="F2684" s="595"/>
      <c r="G2684" s="596"/>
    </row>
    <row r="2685" spans="1:7" ht="12.75">
      <c r="A2685" s="594"/>
      <c r="B2685" s="595"/>
      <c r="C2685" s="595"/>
      <c r="D2685" s="595"/>
      <c r="E2685" s="595"/>
      <c r="F2685" s="595"/>
      <c r="G2685" s="596"/>
    </row>
    <row r="2686" spans="1:7" ht="12.75">
      <c r="A2686" s="597" t="s">
        <v>1774</v>
      </c>
      <c r="B2686" s="597" t="s">
        <v>1775</v>
      </c>
      <c r="C2686" s="595"/>
      <c r="D2686" s="595"/>
      <c r="E2686" s="595"/>
      <c r="F2686" s="595"/>
      <c r="G2686" s="596"/>
    </row>
    <row r="2687" spans="1:7" ht="12.75">
      <c r="A2687" s="597" t="s">
        <v>1778</v>
      </c>
      <c r="B2687" s="597"/>
      <c r="C2687" s="595"/>
      <c r="D2687" s="595"/>
      <c r="E2687" s="595"/>
      <c r="F2687" s="595"/>
      <c r="G2687" s="596"/>
    </row>
    <row r="2688" spans="1:7" ht="63.75">
      <c r="A2688" s="171" t="s">
        <v>677</v>
      </c>
      <c r="B2688" s="182" t="s">
        <v>678</v>
      </c>
      <c r="C2688" s="172" t="s">
        <v>72</v>
      </c>
      <c r="D2688" s="172" t="s">
        <v>75</v>
      </c>
      <c r="E2688" s="373"/>
      <c r="F2688" s="374"/>
      <c r="G2688" s="375"/>
    </row>
    <row r="2689" spans="1:7" ht="51">
      <c r="A2689" s="173" t="s">
        <v>639</v>
      </c>
      <c r="B2689" s="174" t="s">
        <v>640</v>
      </c>
      <c r="C2689" s="175" t="s">
        <v>73</v>
      </c>
      <c r="D2689" s="175" t="s">
        <v>75</v>
      </c>
      <c r="E2689" s="434">
        <v>0.04</v>
      </c>
      <c r="F2689" s="435">
        <v>15.21</v>
      </c>
      <c r="G2689" s="436">
        <f>E2689*F2689</f>
        <v>0.6084</v>
      </c>
    </row>
    <row r="2690" spans="1:7" ht="25.5">
      <c r="A2690" s="173" t="s">
        <v>641</v>
      </c>
      <c r="B2690" s="174" t="s">
        <v>642</v>
      </c>
      <c r="C2690" s="175" t="s">
        <v>73</v>
      </c>
      <c r="D2690" s="175" t="s">
        <v>75</v>
      </c>
      <c r="E2690" s="434">
        <v>2</v>
      </c>
      <c r="F2690" s="435">
        <v>0.98</v>
      </c>
      <c r="G2690" s="436">
        <f>E2690*F2690</f>
        <v>1.96</v>
      </c>
    </row>
    <row r="2691" spans="1:7" ht="25.5">
      <c r="A2691" s="173" t="s">
        <v>679</v>
      </c>
      <c r="B2691" s="174" t="s">
        <v>680</v>
      </c>
      <c r="C2691" s="175" t="s">
        <v>73</v>
      </c>
      <c r="D2691" s="175" t="s">
        <v>75</v>
      </c>
      <c r="E2691" s="434">
        <v>1</v>
      </c>
      <c r="F2691" s="435">
        <v>4.51</v>
      </c>
      <c r="G2691" s="436">
        <f>E2691*F2691</f>
        <v>4.51</v>
      </c>
    </row>
    <row r="2692" spans="1:7" ht="38.25">
      <c r="A2692" s="173" t="s">
        <v>492</v>
      </c>
      <c r="B2692" s="174" t="s">
        <v>493</v>
      </c>
      <c r="C2692" s="175" t="s">
        <v>72</v>
      </c>
      <c r="D2692" s="175" t="s">
        <v>77</v>
      </c>
      <c r="E2692" s="434">
        <v>0.06</v>
      </c>
      <c r="F2692" s="435">
        <v>12.86</v>
      </c>
      <c r="G2692" s="436">
        <f>E2692*F2692</f>
        <v>0.7716</v>
      </c>
    </row>
    <row r="2693" spans="1:7" ht="25.5">
      <c r="A2693" s="173" t="s">
        <v>494</v>
      </c>
      <c r="B2693" s="174" t="s">
        <v>495</v>
      </c>
      <c r="C2693" s="175" t="s">
        <v>72</v>
      </c>
      <c r="D2693" s="175" t="s">
        <v>77</v>
      </c>
      <c r="E2693" s="434">
        <v>0.06</v>
      </c>
      <c r="F2693" s="435">
        <v>15.12</v>
      </c>
      <c r="G2693" s="436">
        <f>E2693*F2693</f>
        <v>0.9071999999999999</v>
      </c>
    </row>
    <row r="2694" spans="1:7" ht="12.75">
      <c r="A2694" s="783" t="s">
        <v>439</v>
      </c>
      <c r="B2694" s="784"/>
      <c r="C2694" s="784"/>
      <c r="D2694" s="784"/>
      <c r="E2694" s="784"/>
      <c r="F2694" s="784"/>
      <c r="G2694" s="440">
        <f>ROUNDUP(SUM(G2692:G2693),2)</f>
        <v>1.68</v>
      </c>
    </row>
    <row r="2695" spans="1:7" ht="12.75">
      <c r="A2695" s="783" t="s">
        <v>440</v>
      </c>
      <c r="B2695" s="784"/>
      <c r="C2695" s="784"/>
      <c r="D2695" s="784"/>
      <c r="E2695" s="784"/>
      <c r="F2695" s="784"/>
      <c r="G2695" s="440">
        <f>ROUNDUP(SUM(G2689:G2691),2)</f>
        <v>7.08</v>
      </c>
    </row>
    <row r="2696" spans="1:7" ht="12.75">
      <c r="A2696" s="783" t="s">
        <v>441</v>
      </c>
      <c r="B2696" s="784"/>
      <c r="C2696" s="784"/>
      <c r="D2696" s="784"/>
      <c r="E2696" s="784"/>
      <c r="F2696" s="784"/>
      <c r="G2696" s="440">
        <f>SUM(G2694:G2695)</f>
        <v>8.76</v>
      </c>
    </row>
    <row r="2697" spans="1:7" ht="12.75">
      <c r="A2697" s="783" t="s">
        <v>442</v>
      </c>
      <c r="B2697" s="784"/>
      <c r="C2697" s="784"/>
      <c r="D2697" s="784"/>
      <c r="E2697" s="784"/>
      <c r="F2697" s="784"/>
      <c r="G2697" s="440">
        <f>G2694*85.16%</f>
        <v>1.4306879999999997</v>
      </c>
    </row>
    <row r="2698" spans="1:7" ht="12.75">
      <c r="A2698" s="783" t="s">
        <v>443</v>
      </c>
      <c r="B2698" s="784"/>
      <c r="C2698" s="784"/>
      <c r="D2698" s="784"/>
      <c r="E2698" s="784"/>
      <c r="F2698" s="784"/>
      <c r="G2698" s="440">
        <f>G2697</f>
        <v>1.4306879999999997</v>
      </c>
    </row>
    <row r="2699" spans="1:7" ht="12.75">
      <c r="A2699" s="785" t="s">
        <v>444</v>
      </c>
      <c r="B2699" s="786"/>
      <c r="C2699" s="786"/>
      <c r="D2699" s="786"/>
      <c r="E2699" s="786"/>
      <c r="F2699" s="787"/>
      <c r="G2699" s="440">
        <f>G2695</f>
        <v>7.08</v>
      </c>
    </row>
    <row r="2700" spans="1:7" ht="12.75">
      <c r="A2700" s="785" t="s">
        <v>445</v>
      </c>
      <c r="B2700" s="786"/>
      <c r="C2700" s="786"/>
      <c r="D2700" s="786"/>
      <c r="E2700" s="786"/>
      <c r="F2700" s="787"/>
      <c r="G2700" s="440">
        <f>G2694+G2698</f>
        <v>3.1106879999999997</v>
      </c>
    </row>
    <row r="2701" spans="1:7" ht="12.75">
      <c r="A2701" s="785" t="s">
        <v>446</v>
      </c>
      <c r="B2701" s="786"/>
      <c r="C2701" s="786"/>
      <c r="D2701" s="786"/>
      <c r="E2701" s="786"/>
      <c r="F2701" s="787"/>
      <c r="G2701" s="440">
        <f>SUM(G2699:G2700)</f>
        <v>10.190688</v>
      </c>
    </row>
    <row r="2702" spans="1:7" ht="12.75">
      <c r="A2702" s="796"/>
      <c r="B2702" s="797"/>
      <c r="C2702" s="797"/>
      <c r="D2702" s="797"/>
      <c r="E2702" s="797"/>
      <c r="F2702" s="797"/>
      <c r="G2702" s="798"/>
    </row>
    <row r="2703" spans="1:7" ht="12.75">
      <c r="A2703" s="804"/>
      <c r="B2703" s="805"/>
      <c r="C2703" s="805"/>
      <c r="D2703" s="805"/>
      <c r="E2703" s="805"/>
      <c r="F2703" s="805"/>
      <c r="G2703" s="806"/>
    </row>
    <row r="2704" spans="1:7" ht="12.75">
      <c r="A2704" s="597" t="s">
        <v>1551</v>
      </c>
      <c r="B2704" s="597" t="s">
        <v>1552</v>
      </c>
      <c r="C2704" s="595"/>
      <c r="D2704" s="595"/>
      <c r="E2704" s="595"/>
      <c r="F2704" s="595"/>
      <c r="G2704" s="596"/>
    </row>
    <row r="2705" spans="1:7" ht="12.75">
      <c r="A2705" s="597" t="s">
        <v>1768</v>
      </c>
      <c r="B2705" s="597"/>
      <c r="C2705" s="595"/>
      <c r="D2705" s="595"/>
      <c r="E2705" s="595"/>
      <c r="F2705" s="595"/>
      <c r="G2705" s="596"/>
    </row>
    <row r="2706" spans="1:7" ht="25.5">
      <c r="A2706" s="597" t="s">
        <v>698</v>
      </c>
      <c r="B2706" s="182" t="s">
        <v>263</v>
      </c>
      <c r="C2706" s="172" t="s">
        <v>72</v>
      </c>
      <c r="D2706" s="172" t="s">
        <v>75</v>
      </c>
      <c r="E2706" s="373"/>
      <c r="F2706" s="374"/>
      <c r="G2706" s="375"/>
    </row>
    <row r="2707" spans="1:7" ht="12.75">
      <c r="A2707" s="173" t="s">
        <v>699</v>
      </c>
      <c r="B2707" s="174" t="s">
        <v>700</v>
      </c>
      <c r="C2707" s="175" t="s">
        <v>73</v>
      </c>
      <c r="D2707" s="175" t="s">
        <v>75</v>
      </c>
      <c r="E2707" s="434">
        <v>1.015</v>
      </c>
      <c r="F2707" s="435">
        <v>6.72</v>
      </c>
      <c r="G2707" s="436">
        <f>E2707*F2707</f>
        <v>6.820799999999999</v>
      </c>
    </row>
    <row r="2708" spans="1:7" ht="51">
      <c r="A2708" s="173" t="s">
        <v>639</v>
      </c>
      <c r="B2708" s="174" t="s">
        <v>640</v>
      </c>
      <c r="C2708" s="175" t="s">
        <v>73</v>
      </c>
      <c r="D2708" s="175" t="s">
        <v>75</v>
      </c>
      <c r="E2708" s="434">
        <v>0.1</v>
      </c>
      <c r="F2708" s="435">
        <v>15.21</v>
      </c>
      <c r="G2708" s="436">
        <f>E2708*F2708</f>
        <v>1.5210000000000001</v>
      </c>
    </row>
    <row r="2709" spans="1:7" ht="25.5">
      <c r="A2709" s="173" t="s">
        <v>657</v>
      </c>
      <c r="B2709" s="174" t="s">
        <v>658</v>
      </c>
      <c r="C2709" s="175" t="s">
        <v>73</v>
      </c>
      <c r="D2709" s="175" t="s">
        <v>75</v>
      </c>
      <c r="E2709" s="434">
        <v>1</v>
      </c>
      <c r="F2709" s="435">
        <v>1.75</v>
      </c>
      <c r="G2709" s="436">
        <f>E2709*F2709</f>
        <v>1.75</v>
      </c>
    </row>
    <row r="2710" spans="1:7" ht="38.25">
      <c r="A2710" s="173" t="s">
        <v>492</v>
      </c>
      <c r="B2710" s="174" t="s">
        <v>493</v>
      </c>
      <c r="C2710" s="175" t="s">
        <v>72</v>
      </c>
      <c r="D2710" s="175" t="s">
        <v>77</v>
      </c>
      <c r="E2710" s="434">
        <v>0.12</v>
      </c>
      <c r="F2710" s="435">
        <v>12.86</v>
      </c>
      <c r="G2710" s="436">
        <f>E2710*F2710</f>
        <v>1.5432</v>
      </c>
    </row>
    <row r="2711" spans="1:7" ht="25.5">
      <c r="A2711" s="173" t="s">
        <v>494</v>
      </c>
      <c r="B2711" s="174" t="s">
        <v>495</v>
      </c>
      <c r="C2711" s="175" t="s">
        <v>72</v>
      </c>
      <c r="D2711" s="175" t="s">
        <v>77</v>
      </c>
      <c r="E2711" s="434">
        <v>0.12</v>
      </c>
      <c r="F2711" s="435">
        <v>15.12</v>
      </c>
      <c r="G2711" s="436">
        <f>E2711*F2711</f>
        <v>1.8143999999999998</v>
      </c>
    </row>
    <row r="2712" spans="1:7" ht="12.75">
      <c r="A2712" s="783" t="s">
        <v>439</v>
      </c>
      <c r="B2712" s="784"/>
      <c r="C2712" s="784"/>
      <c r="D2712" s="784"/>
      <c r="E2712" s="784"/>
      <c r="F2712" s="784"/>
      <c r="G2712" s="440">
        <f>ROUNDUP(SUM(G2710:G2711),2)</f>
        <v>3.36</v>
      </c>
    </row>
    <row r="2713" spans="1:7" ht="12.75">
      <c r="A2713" s="783" t="s">
        <v>440</v>
      </c>
      <c r="B2713" s="784"/>
      <c r="C2713" s="784"/>
      <c r="D2713" s="784"/>
      <c r="E2713" s="784"/>
      <c r="F2713" s="784"/>
      <c r="G2713" s="440">
        <f>ROUNDUP(SUM(G2707:G2709),2)</f>
        <v>10.1</v>
      </c>
    </row>
    <row r="2714" spans="1:7" ht="12.75">
      <c r="A2714" s="783" t="s">
        <v>441</v>
      </c>
      <c r="B2714" s="784"/>
      <c r="C2714" s="784"/>
      <c r="D2714" s="784"/>
      <c r="E2714" s="784"/>
      <c r="F2714" s="784"/>
      <c r="G2714" s="440">
        <f>SUM(G2712:G2713)</f>
        <v>13.459999999999999</v>
      </c>
    </row>
    <row r="2715" spans="1:7" ht="12.75">
      <c r="A2715" s="783" t="s">
        <v>442</v>
      </c>
      <c r="B2715" s="784"/>
      <c r="C2715" s="784"/>
      <c r="D2715" s="784"/>
      <c r="E2715" s="784"/>
      <c r="F2715" s="784"/>
      <c r="G2715" s="440">
        <f>G2712*85.16%</f>
        <v>2.8613759999999995</v>
      </c>
    </row>
    <row r="2716" spans="1:7" ht="12.75">
      <c r="A2716" s="783" t="s">
        <v>443</v>
      </c>
      <c r="B2716" s="784"/>
      <c r="C2716" s="784"/>
      <c r="D2716" s="784"/>
      <c r="E2716" s="784"/>
      <c r="F2716" s="784"/>
      <c r="G2716" s="440">
        <f>G2715</f>
        <v>2.8613759999999995</v>
      </c>
    </row>
    <row r="2717" spans="1:7" ht="12.75">
      <c r="A2717" s="785" t="s">
        <v>444</v>
      </c>
      <c r="B2717" s="786"/>
      <c r="C2717" s="786"/>
      <c r="D2717" s="786"/>
      <c r="E2717" s="786"/>
      <c r="F2717" s="787"/>
      <c r="G2717" s="440">
        <f>G2713</f>
        <v>10.1</v>
      </c>
    </row>
    <row r="2718" spans="1:7" ht="12.75">
      <c r="A2718" s="785" t="s">
        <v>445</v>
      </c>
      <c r="B2718" s="786"/>
      <c r="C2718" s="786"/>
      <c r="D2718" s="786"/>
      <c r="E2718" s="786"/>
      <c r="F2718" s="787"/>
      <c r="G2718" s="440">
        <f>G2712+G2716</f>
        <v>6.221375999999999</v>
      </c>
    </row>
    <row r="2719" spans="1:7" ht="12.75">
      <c r="A2719" s="785" t="s">
        <v>446</v>
      </c>
      <c r="B2719" s="786"/>
      <c r="C2719" s="786"/>
      <c r="D2719" s="786"/>
      <c r="E2719" s="786"/>
      <c r="F2719" s="787"/>
      <c r="G2719" s="440">
        <f>SUM(G2717:G2718)</f>
        <v>16.321376</v>
      </c>
    </row>
    <row r="2720" spans="1:7" ht="12.75">
      <c r="A2720" s="796"/>
      <c r="B2720" s="797"/>
      <c r="C2720" s="797"/>
      <c r="D2720" s="797"/>
      <c r="E2720" s="797"/>
      <c r="F2720" s="797"/>
      <c r="G2720" s="798"/>
    </row>
    <row r="2721" spans="1:7" ht="12.75">
      <c r="A2721" s="491" t="s">
        <v>83</v>
      </c>
      <c r="B2721" s="799" t="s">
        <v>1286</v>
      </c>
      <c r="C2721" s="799"/>
      <c r="D2721" s="799"/>
      <c r="E2721" s="799"/>
      <c r="F2721" s="799"/>
      <c r="G2721" s="800"/>
    </row>
    <row r="2722" spans="1:7" ht="12.75">
      <c r="A2722" s="804"/>
      <c r="B2722" s="805"/>
      <c r="C2722" s="805"/>
      <c r="D2722" s="805"/>
      <c r="E2722" s="805"/>
      <c r="F2722" s="805"/>
      <c r="G2722" s="806"/>
    </row>
    <row r="2723" spans="1:7" ht="12.75">
      <c r="A2723" s="594"/>
      <c r="B2723" s="595"/>
      <c r="C2723" s="595"/>
      <c r="D2723" s="595"/>
      <c r="E2723" s="595"/>
      <c r="F2723" s="595"/>
      <c r="G2723" s="596"/>
    </row>
    <row r="2724" spans="1:7" ht="12.75">
      <c r="A2724" s="597" t="s">
        <v>1774</v>
      </c>
      <c r="B2724" s="597" t="s">
        <v>1775</v>
      </c>
      <c r="C2724" s="595"/>
      <c r="D2724" s="595"/>
      <c r="E2724" s="595"/>
      <c r="F2724" s="595"/>
      <c r="G2724" s="596"/>
    </row>
    <row r="2725" spans="1:7" ht="12.75">
      <c r="A2725" s="597" t="s">
        <v>1779</v>
      </c>
      <c r="B2725" s="597"/>
      <c r="C2725" s="595"/>
      <c r="D2725" s="595"/>
      <c r="E2725" s="595"/>
      <c r="F2725" s="595"/>
      <c r="G2725" s="596"/>
    </row>
    <row r="2726" spans="1:7" ht="25.5">
      <c r="A2726" s="171" t="s">
        <v>571</v>
      </c>
      <c r="B2726" s="182" t="s">
        <v>264</v>
      </c>
      <c r="C2726" s="172" t="s">
        <v>72</v>
      </c>
      <c r="D2726" s="172" t="s">
        <v>75</v>
      </c>
      <c r="E2726" s="373"/>
      <c r="F2726" s="374"/>
      <c r="G2726" s="375"/>
    </row>
    <row r="2727" spans="1:7" ht="25.5">
      <c r="A2727" s="173" t="s">
        <v>572</v>
      </c>
      <c r="B2727" s="174" t="s">
        <v>573</v>
      </c>
      <c r="C2727" s="175" t="s">
        <v>73</v>
      </c>
      <c r="D2727" s="175" t="s">
        <v>75</v>
      </c>
      <c r="E2727" s="434">
        <v>1</v>
      </c>
      <c r="F2727" s="435">
        <v>9.05</v>
      </c>
      <c r="G2727" s="436">
        <f>E2727*F2727</f>
        <v>9.05</v>
      </c>
    </row>
    <row r="2728" spans="1:7" ht="38.25">
      <c r="A2728" s="173" t="s">
        <v>492</v>
      </c>
      <c r="B2728" s="174" t="s">
        <v>493</v>
      </c>
      <c r="C2728" s="175" t="s">
        <v>72</v>
      </c>
      <c r="D2728" s="175" t="s">
        <v>77</v>
      </c>
      <c r="E2728" s="434">
        <v>0.1</v>
      </c>
      <c r="F2728" s="435">
        <v>12.86</v>
      </c>
      <c r="G2728" s="436">
        <f>E2728*F2728</f>
        <v>1.286</v>
      </c>
    </row>
    <row r="2729" spans="1:7" ht="25.5">
      <c r="A2729" s="173" t="s">
        <v>494</v>
      </c>
      <c r="B2729" s="174" t="s">
        <v>495</v>
      </c>
      <c r="C2729" s="175" t="s">
        <v>72</v>
      </c>
      <c r="D2729" s="175" t="s">
        <v>77</v>
      </c>
      <c r="E2729" s="434">
        <v>0.1</v>
      </c>
      <c r="F2729" s="435">
        <v>15.12</v>
      </c>
      <c r="G2729" s="436">
        <f>E2729*F2729</f>
        <v>1.512</v>
      </c>
    </row>
    <row r="2730" spans="1:7" ht="12.75">
      <c r="A2730" s="783" t="s">
        <v>439</v>
      </c>
      <c r="B2730" s="784"/>
      <c r="C2730" s="784"/>
      <c r="D2730" s="784"/>
      <c r="E2730" s="784"/>
      <c r="F2730" s="784"/>
      <c r="G2730" s="440">
        <f>ROUNDUP(SUM(G2728:G2729),2)</f>
        <v>2.8</v>
      </c>
    </row>
    <row r="2731" spans="1:7" ht="12.75">
      <c r="A2731" s="783" t="s">
        <v>440</v>
      </c>
      <c r="B2731" s="784"/>
      <c r="C2731" s="784"/>
      <c r="D2731" s="784"/>
      <c r="E2731" s="784"/>
      <c r="F2731" s="784"/>
      <c r="G2731" s="440">
        <f>ROUNDUP(SUM(G2727),2)</f>
        <v>9.05</v>
      </c>
    </row>
    <row r="2732" spans="1:7" ht="12.75">
      <c r="A2732" s="783" t="s">
        <v>441</v>
      </c>
      <c r="B2732" s="784"/>
      <c r="C2732" s="784"/>
      <c r="D2732" s="784"/>
      <c r="E2732" s="784"/>
      <c r="F2732" s="784"/>
      <c r="G2732" s="440">
        <f>SUM(G2730:G2731)</f>
        <v>11.850000000000001</v>
      </c>
    </row>
    <row r="2733" spans="1:7" ht="12.75">
      <c r="A2733" s="783" t="s">
        <v>442</v>
      </c>
      <c r="B2733" s="784"/>
      <c r="C2733" s="784"/>
      <c r="D2733" s="784"/>
      <c r="E2733" s="784"/>
      <c r="F2733" s="784"/>
      <c r="G2733" s="440">
        <f>G2730*85.16%</f>
        <v>2.3844799999999995</v>
      </c>
    </row>
    <row r="2734" spans="1:7" ht="12.75">
      <c r="A2734" s="783" t="s">
        <v>443</v>
      </c>
      <c r="B2734" s="784"/>
      <c r="C2734" s="784"/>
      <c r="D2734" s="784"/>
      <c r="E2734" s="784"/>
      <c r="F2734" s="784"/>
      <c r="G2734" s="440">
        <f>G2733</f>
        <v>2.3844799999999995</v>
      </c>
    </row>
    <row r="2735" spans="1:7" ht="12.75">
      <c r="A2735" s="785" t="s">
        <v>444</v>
      </c>
      <c r="B2735" s="786"/>
      <c r="C2735" s="786"/>
      <c r="D2735" s="786"/>
      <c r="E2735" s="786"/>
      <c r="F2735" s="787"/>
      <c r="G2735" s="440">
        <f>G2731</f>
        <v>9.05</v>
      </c>
    </row>
    <row r="2736" spans="1:7" ht="12.75">
      <c r="A2736" s="785" t="s">
        <v>445</v>
      </c>
      <c r="B2736" s="786"/>
      <c r="C2736" s="786"/>
      <c r="D2736" s="786"/>
      <c r="E2736" s="786"/>
      <c r="F2736" s="787"/>
      <c r="G2736" s="440">
        <f>G2730+G2734</f>
        <v>5.184479999999999</v>
      </c>
    </row>
    <row r="2737" spans="1:7" ht="12.75">
      <c r="A2737" s="785" t="s">
        <v>446</v>
      </c>
      <c r="B2737" s="786"/>
      <c r="C2737" s="786"/>
      <c r="D2737" s="786"/>
      <c r="E2737" s="786"/>
      <c r="F2737" s="787"/>
      <c r="G2737" s="440">
        <f>SUM(G2735:G2736)</f>
        <v>14.23448</v>
      </c>
    </row>
    <row r="2738" spans="1:7" ht="12.75">
      <c r="A2738" s="796"/>
      <c r="B2738" s="797"/>
      <c r="C2738" s="797"/>
      <c r="D2738" s="797"/>
      <c r="E2738" s="797"/>
      <c r="F2738" s="797"/>
      <c r="G2738" s="798"/>
    </row>
    <row r="2739" spans="1:7" ht="12.75">
      <c r="A2739" s="491" t="s">
        <v>83</v>
      </c>
      <c r="B2739" s="799" t="s">
        <v>574</v>
      </c>
      <c r="C2739" s="799"/>
      <c r="D2739" s="799"/>
      <c r="E2739" s="799"/>
      <c r="F2739" s="799"/>
      <c r="G2739" s="800"/>
    </row>
    <row r="2740" spans="1:7" ht="12.75">
      <c r="A2740" s="804"/>
      <c r="B2740" s="805"/>
      <c r="C2740" s="805"/>
      <c r="D2740" s="805"/>
      <c r="E2740" s="805"/>
      <c r="F2740" s="805"/>
      <c r="G2740" s="806"/>
    </row>
    <row r="2741" spans="1:7" ht="12.75">
      <c r="A2741" s="597" t="s">
        <v>1525</v>
      </c>
      <c r="B2741" s="597" t="s">
        <v>1526</v>
      </c>
      <c r="C2741" s="595"/>
      <c r="D2741" s="595"/>
      <c r="E2741" s="595"/>
      <c r="F2741" s="595"/>
      <c r="G2741" s="596"/>
    </row>
    <row r="2742" spans="1:7" ht="25.5">
      <c r="A2742" s="597" t="s">
        <v>1519</v>
      </c>
      <c r="B2742" s="597" t="s">
        <v>1520</v>
      </c>
      <c r="C2742" s="595"/>
      <c r="D2742" s="595"/>
      <c r="E2742" s="595"/>
      <c r="F2742" s="595"/>
      <c r="G2742" s="596"/>
    </row>
    <row r="2743" spans="1:7" ht="12.75">
      <c r="A2743" s="597" t="s">
        <v>1522</v>
      </c>
      <c r="B2743" s="597" t="s">
        <v>1521</v>
      </c>
      <c r="C2743" s="595"/>
      <c r="D2743" s="595"/>
      <c r="E2743" s="595"/>
      <c r="F2743" s="595"/>
      <c r="G2743" s="596"/>
    </row>
    <row r="2744" spans="1:7" ht="12.75">
      <c r="A2744" s="597" t="s">
        <v>1691</v>
      </c>
      <c r="B2744" s="597"/>
      <c r="C2744" s="595"/>
      <c r="D2744" s="595"/>
      <c r="E2744" s="595"/>
      <c r="F2744" s="595"/>
      <c r="G2744" s="596"/>
    </row>
    <row r="2745" spans="1:7" ht="51">
      <c r="A2745" s="171" t="s">
        <v>738</v>
      </c>
      <c r="B2745" s="182" t="s">
        <v>739</v>
      </c>
      <c r="C2745" s="172" t="s">
        <v>72</v>
      </c>
      <c r="D2745" s="172" t="s">
        <v>71</v>
      </c>
      <c r="E2745" s="373"/>
      <c r="F2745" s="374"/>
      <c r="G2745" s="375"/>
    </row>
    <row r="2746" spans="1:7" ht="12.75">
      <c r="A2746" s="173" t="s">
        <v>583</v>
      </c>
      <c r="B2746" s="174" t="s">
        <v>584</v>
      </c>
      <c r="C2746" s="175" t="s">
        <v>73</v>
      </c>
      <c r="D2746" s="175" t="s">
        <v>75</v>
      </c>
      <c r="E2746" s="434">
        <v>0.014</v>
      </c>
      <c r="F2746" s="435">
        <v>1.52</v>
      </c>
      <c r="G2746" s="436">
        <f>E2746*F2746</f>
        <v>0.02128</v>
      </c>
    </row>
    <row r="2747" spans="1:7" ht="38.25">
      <c r="A2747" s="173" t="s">
        <v>492</v>
      </c>
      <c r="B2747" s="174" t="s">
        <v>493</v>
      </c>
      <c r="C2747" s="175" t="s">
        <v>72</v>
      </c>
      <c r="D2747" s="175" t="s">
        <v>77</v>
      </c>
      <c r="E2747" s="434">
        <v>0.042</v>
      </c>
      <c r="F2747" s="435">
        <v>12.86</v>
      </c>
      <c r="G2747" s="436">
        <f>E2747*F2747</f>
        <v>0.54012</v>
      </c>
    </row>
    <row r="2748" spans="1:7" ht="25.5">
      <c r="A2748" s="173" t="s">
        <v>494</v>
      </c>
      <c r="B2748" s="174" t="s">
        <v>495</v>
      </c>
      <c r="C2748" s="175" t="s">
        <v>72</v>
      </c>
      <c r="D2748" s="175" t="s">
        <v>77</v>
      </c>
      <c r="E2748" s="434">
        <v>0.042</v>
      </c>
      <c r="F2748" s="435">
        <v>15.12</v>
      </c>
      <c r="G2748" s="436">
        <f>E2748*F2748</f>
        <v>0.63504</v>
      </c>
    </row>
    <row r="2749" spans="1:7" ht="25.5">
      <c r="A2749" s="173" t="s">
        <v>740</v>
      </c>
      <c r="B2749" s="174" t="s">
        <v>741</v>
      </c>
      <c r="C2749" s="175" t="s">
        <v>73</v>
      </c>
      <c r="D2749" s="175" t="s">
        <v>71</v>
      </c>
      <c r="E2749" s="434">
        <v>1.061</v>
      </c>
      <c r="F2749" s="435">
        <v>20.61</v>
      </c>
      <c r="G2749" s="436">
        <f>E2749*F2749</f>
        <v>21.867209999999996</v>
      </c>
    </row>
    <row r="2750" spans="1:7" ht="12.75">
      <c r="A2750" s="783" t="s">
        <v>439</v>
      </c>
      <c r="B2750" s="784"/>
      <c r="C2750" s="784"/>
      <c r="D2750" s="784"/>
      <c r="E2750" s="784"/>
      <c r="F2750" s="784"/>
      <c r="G2750" s="440">
        <f>ROUNDUP(SUM(G2747:G2748),2)</f>
        <v>1.18</v>
      </c>
    </row>
    <row r="2751" spans="1:7" ht="12.75">
      <c r="A2751" s="783" t="s">
        <v>440</v>
      </c>
      <c r="B2751" s="784"/>
      <c r="C2751" s="784"/>
      <c r="D2751" s="784"/>
      <c r="E2751" s="784"/>
      <c r="F2751" s="784"/>
      <c r="G2751" s="440">
        <f>G2746+G2749</f>
        <v>21.888489999999997</v>
      </c>
    </row>
    <row r="2752" spans="1:7" ht="12.75">
      <c r="A2752" s="783" t="s">
        <v>441</v>
      </c>
      <c r="B2752" s="784"/>
      <c r="C2752" s="784"/>
      <c r="D2752" s="784"/>
      <c r="E2752" s="784"/>
      <c r="F2752" s="784"/>
      <c r="G2752" s="440">
        <f>SUM(G2750:G2751)</f>
        <v>23.068489999999997</v>
      </c>
    </row>
    <row r="2753" spans="1:7" ht="12.75">
      <c r="A2753" s="783" t="s">
        <v>442</v>
      </c>
      <c r="B2753" s="784"/>
      <c r="C2753" s="784"/>
      <c r="D2753" s="784"/>
      <c r="E2753" s="784"/>
      <c r="F2753" s="784"/>
      <c r="G2753" s="440">
        <f>G2750*85.16%</f>
        <v>1.0048879999999998</v>
      </c>
    </row>
    <row r="2754" spans="1:7" ht="12.75">
      <c r="A2754" s="783" t="s">
        <v>443</v>
      </c>
      <c r="B2754" s="784"/>
      <c r="C2754" s="784"/>
      <c r="D2754" s="784"/>
      <c r="E2754" s="784"/>
      <c r="F2754" s="784"/>
      <c r="G2754" s="440">
        <f>G2753</f>
        <v>1.0048879999999998</v>
      </c>
    </row>
    <row r="2755" spans="1:7" ht="12.75">
      <c r="A2755" s="785" t="s">
        <v>444</v>
      </c>
      <c r="B2755" s="786"/>
      <c r="C2755" s="786"/>
      <c r="D2755" s="786"/>
      <c r="E2755" s="786"/>
      <c r="F2755" s="787"/>
      <c r="G2755" s="440">
        <f>G2751</f>
        <v>21.888489999999997</v>
      </c>
    </row>
    <row r="2756" spans="1:7" ht="12.75">
      <c r="A2756" s="785" t="s">
        <v>445</v>
      </c>
      <c r="B2756" s="786"/>
      <c r="C2756" s="786"/>
      <c r="D2756" s="786"/>
      <c r="E2756" s="786"/>
      <c r="F2756" s="787"/>
      <c r="G2756" s="440">
        <f>G2750+G2754</f>
        <v>2.184888</v>
      </c>
    </row>
    <row r="2757" spans="1:7" ht="12.75">
      <c r="A2757" s="785" t="s">
        <v>446</v>
      </c>
      <c r="B2757" s="786"/>
      <c r="C2757" s="786"/>
      <c r="D2757" s="786"/>
      <c r="E2757" s="786"/>
      <c r="F2757" s="787"/>
      <c r="G2757" s="440">
        <f>SUM(G2755:G2756)</f>
        <v>24.073377999999998</v>
      </c>
    </row>
    <row r="2758" spans="1:7" ht="12.75">
      <c r="A2758" s="796"/>
      <c r="B2758" s="797"/>
      <c r="C2758" s="797"/>
      <c r="D2758" s="797"/>
      <c r="E2758" s="797"/>
      <c r="F2758" s="797"/>
      <c r="G2758" s="798"/>
    </row>
    <row r="2759" spans="1:7" ht="12.75">
      <c r="A2759" s="597" t="s">
        <v>1692</v>
      </c>
      <c r="B2759" s="595"/>
      <c r="C2759" s="595"/>
      <c r="D2759" s="595"/>
      <c r="E2759" s="595"/>
      <c r="F2759" s="595"/>
      <c r="G2759" s="596"/>
    </row>
    <row r="2760" spans="1:7" ht="51">
      <c r="A2760" s="171" t="s">
        <v>736</v>
      </c>
      <c r="B2760" s="299" t="s">
        <v>1246</v>
      </c>
      <c r="C2760" s="172" t="s">
        <v>72</v>
      </c>
      <c r="D2760" s="172" t="s">
        <v>75</v>
      </c>
      <c r="E2760" s="373"/>
      <c r="F2760" s="374"/>
      <c r="G2760" s="375"/>
    </row>
    <row r="2761" spans="1:7" ht="12.75">
      <c r="A2761" s="173">
        <v>38383</v>
      </c>
      <c r="B2761" s="174" t="s">
        <v>584</v>
      </c>
      <c r="C2761" s="175" t="s">
        <v>73</v>
      </c>
      <c r="D2761" s="175" t="s">
        <v>75</v>
      </c>
      <c r="E2761" s="434">
        <v>0.011</v>
      </c>
      <c r="F2761" s="435">
        <v>1.52</v>
      </c>
      <c r="G2761" s="436">
        <f>E2761*F2761</f>
        <v>0.01672</v>
      </c>
    </row>
    <row r="2762" spans="1:7" ht="38.25">
      <c r="A2762" s="173" t="s">
        <v>1239</v>
      </c>
      <c r="B2762" s="174" t="s">
        <v>493</v>
      </c>
      <c r="C2762" s="175" t="s">
        <v>1245</v>
      </c>
      <c r="D2762" s="175" t="s">
        <v>77</v>
      </c>
      <c r="E2762" s="434">
        <v>0.034</v>
      </c>
      <c r="F2762" s="435">
        <v>12.86</v>
      </c>
      <c r="G2762" s="436">
        <f>E2762*F2762</f>
        <v>0.43724</v>
      </c>
    </row>
    <row r="2763" spans="1:7" ht="25.5">
      <c r="A2763" s="173" t="s">
        <v>1240</v>
      </c>
      <c r="B2763" s="174" t="s">
        <v>495</v>
      </c>
      <c r="C2763" s="175" t="s">
        <v>1245</v>
      </c>
      <c r="D2763" s="175" t="s">
        <v>77</v>
      </c>
      <c r="E2763" s="434">
        <v>0.034</v>
      </c>
      <c r="F2763" s="435">
        <v>15.12</v>
      </c>
      <c r="G2763" s="436">
        <f>E2763*F2763</f>
        <v>0.51408</v>
      </c>
    </row>
    <row r="2764" spans="1:7" ht="25.5">
      <c r="A2764" s="173">
        <v>9873</v>
      </c>
      <c r="B2764" s="174" t="s">
        <v>737</v>
      </c>
      <c r="C2764" s="175" t="s">
        <v>73</v>
      </c>
      <c r="D2764" s="175" t="s">
        <v>75</v>
      </c>
      <c r="E2764" s="434">
        <v>1.061</v>
      </c>
      <c r="F2764" s="435">
        <v>14.69</v>
      </c>
      <c r="G2764" s="436">
        <f>E2764*F2764</f>
        <v>15.586089999999999</v>
      </c>
    </row>
    <row r="2765" spans="1:7" ht="12.75">
      <c r="A2765" s="783" t="s">
        <v>439</v>
      </c>
      <c r="B2765" s="784"/>
      <c r="C2765" s="784"/>
      <c r="D2765" s="784"/>
      <c r="E2765" s="784"/>
      <c r="F2765" s="784"/>
      <c r="G2765" s="440">
        <f>ROUNDUP(SUM(G2762:G2763),2)</f>
        <v>0.96</v>
      </c>
    </row>
    <row r="2766" spans="1:7" ht="12.75">
      <c r="A2766" s="783" t="s">
        <v>440</v>
      </c>
      <c r="B2766" s="784"/>
      <c r="C2766" s="784"/>
      <c r="D2766" s="784"/>
      <c r="E2766" s="784"/>
      <c r="F2766" s="784"/>
      <c r="G2766" s="440">
        <f>G2761+G2764</f>
        <v>15.602809999999998</v>
      </c>
    </row>
    <row r="2767" spans="1:7" ht="12.75">
      <c r="A2767" s="783" t="s">
        <v>441</v>
      </c>
      <c r="B2767" s="784"/>
      <c r="C2767" s="784"/>
      <c r="D2767" s="784"/>
      <c r="E2767" s="784"/>
      <c r="F2767" s="784"/>
      <c r="G2767" s="440">
        <f>SUM(G2765:G2766)</f>
        <v>16.56281</v>
      </c>
    </row>
    <row r="2768" spans="1:7" ht="12.75">
      <c r="A2768" s="783" t="s">
        <v>442</v>
      </c>
      <c r="B2768" s="784"/>
      <c r="C2768" s="784"/>
      <c r="D2768" s="784"/>
      <c r="E2768" s="784"/>
      <c r="F2768" s="784"/>
      <c r="G2768" s="440">
        <f>G2765*85.16%</f>
        <v>0.8175359999999999</v>
      </c>
    </row>
    <row r="2769" spans="1:7" ht="12.75">
      <c r="A2769" s="783" t="s">
        <v>443</v>
      </c>
      <c r="B2769" s="784"/>
      <c r="C2769" s="784"/>
      <c r="D2769" s="784"/>
      <c r="E2769" s="784"/>
      <c r="F2769" s="784"/>
      <c r="G2769" s="440">
        <f>G2768</f>
        <v>0.8175359999999999</v>
      </c>
    </row>
    <row r="2770" spans="1:7" ht="12.75">
      <c r="A2770" s="785" t="s">
        <v>444</v>
      </c>
      <c r="B2770" s="786"/>
      <c r="C2770" s="786"/>
      <c r="D2770" s="786"/>
      <c r="E2770" s="786"/>
      <c r="F2770" s="787"/>
      <c r="G2770" s="440">
        <f>G2766</f>
        <v>15.602809999999998</v>
      </c>
    </row>
    <row r="2771" spans="1:7" ht="12.75">
      <c r="A2771" s="785" t="s">
        <v>445</v>
      </c>
      <c r="B2771" s="786"/>
      <c r="C2771" s="786"/>
      <c r="D2771" s="786"/>
      <c r="E2771" s="786"/>
      <c r="F2771" s="787"/>
      <c r="G2771" s="440">
        <f>G2765+G2769</f>
        <v>1.777536</v>
      </c>
    </row>
    <row r="2772" spans="1:7" ht="12.75">
      <c r="A2772" s="785" t="s">
        <v>446</v>
      </c>
      <c r="B2772" s="786"/>
      <c r="C2772" s="786"/>
      <c r="D2772" s="786"/>
      <c r="E2772" s="786"/>
      <c r="F2772" s="787"/>
      <c r="G2772" s="440">
        <f>SUM(G2770:G2771)</f>
        <v>17.380346</v>
      </c>
    </row>
    <row r="2773" spans="1:7" ht="12.75">
      <c r="A2773" s="295"/>
      <c r="B2773" s="296"/>
      <c r="C2773" s="296"/>
      <c r="D2773" s="296"/>
      <c r="E2773" s="459"/>
      <c r="F2773" s="459"/>
      <c r="G2773" s="460"/>
    </row>
    <row r="2774" spans="1:7" ht="12.75">
      <c r="A2774" s="597" t="s">
        <v>1693</v>
      </c>
      <c r="B2774" s="595"/>
      <c r="C2774" s="595"/>
      <c r="D2774" s="595"/>
      <c r="E2774" s="589"/>
      <c r="F2774" s="589"/>
      <c r="G2774" s="590"/>
    </row>
    <row r="2775" spans="1:7" ht="51">
      <c r="A2775" s="171" t="s">
        <v>735</v>
      </c>
      <c r="B2775" s="299" t="s">
        <v>1247</v>
      </c>
      <c r="C2775" s="172" t="s">
        <v>72</v>
      </c>
      <c r="D2775" s="172" t="s">
        <v>75</v>
      </c>
      <c r="E2775" s="373"/>
      <c r="F2775" s="374"/>
      <c r="G2775" s="375"/>
    </row>
    <row r="2776" spans="1:7" ht="12.75">
      <c r="A2776" s="173">
        <v>38383</v>
      </c>
      <c r="B2776" s="174" t="s">
        <v>584</v>
      </c>
      <c r="C2776" s="175" t="s">
        <v>73</v>
      </c>
      <c r="D2776" s="175" t="s">
        <v>75</v>
      </c>
      <c r="E2776" s="434">
        <v>0.01</v>
      </c>
      <c r="F2776" s="435">
        <v>1.52</v>
      </c>
      <c r="G2776" s="436">
        <f>E2776*F2776</f>
        <v>0.0152</v>
      </c>
    </row>
    <row r="2777" spans="1:7" ht="38.25">
      <c r="A2777" s="173" t="s">
        <v>1239</v>
      </c>
      <c r="B2777" s="174" t="s">
        <v>493</v>
      </c>
      <c r="C2777" s="175" t="s">
        <v>1245</v>
      </c>
      <c r="D2777" s="175" t="s">
        <v>77</v>
      </c>
      <c r="E2777" s="434">
        <v>0.029</v>
      </c>
      <c r="F2777" s="435">
        <v>12.86</v>
      </c>
      <c r="G2777" s="436">
        <f>E2777*F2777</f>
        <v>0.37294</v>
      </c>
    </row>
    <row r="2778" spans="1:7" ht="25.5">
      <c r="A2778" s="173" t="s">
        <v>1240</v>
      </c>
      <c r="B2778" s="174" t="s">
        <v>495</v>
      </c>
      <c r="C2778" s="175" t="s">
        <v>1245</v>
      </c>
      <c r="D2778" s="175" t="s">
        <v>77</v>
      </c>
      <c r="E2778" s="434">
        <v>0.029</v>
      </c>
      <c r="F2778" s="435">
        <v>15.12</v>
      </c>
      <c r="G2778" s="436">
        <f>E2778*F2778</f>
        <v>0.43848</v>
      </c>
    </row>
    <row r="2779" spans="1:7" ht="25.5">
      <c r="A2779" s="173">
        <v>9873</v>
      </c>
      <c r="B2779" s="174" t="s">
        <v>737</v>
      </c>
      <c r="C2779" s="175" t="s">
        <v>73</v>
      </c>
      <c r="D2779" s="175" t="s">
        <v>75</v>
      </c>
      <c r="E2779" s="434">
        <v>1.061</v>
      </c>
      <c r="F2779" s="435">
        <v>14.69</v>
      </c>
      <c r="G2779" s="436">
        <f>E2779*F2779</f>
        <v>15.586089999999999</v>
      </c>
    </row>
    <row r="2780" spans="1:7" ht="12.75">
      <c r="A2780" s="783" t="s">
        <v>439</v>
      </c>
      <c r="B2780" s="784"/>
      <c r="C2780" s="784"/>
      <c r="D2780" s="784"/>
      <c r="E2780" s="784"/>
      <c r="F2780" s="784"/>
      <c r="G2780" s="440">
        <f>ROUNDUP(SUM(G2777:G2778),2)</f>
        <v>0.8200000000000001</v>
      </c>
    </row>
    <row r="2781" spans="1:7" ht="12.75">
      <c r="A2781" s="783" t="s">
        <v>440</v>
      </c>
      <c r="B2781" s="784"/>
      <c r="C2781" s="784"/>
      <c r="D2781" s="784"/>
      <c r="E2781" s="784"/>
      <c r="F2781" s="784"/>
      <c r="G2781" s="440">
        <f>G2776+G2779</f>
        <v>15.601289999999999</v>
      </c>
    </row>
    <row r="2782" spans="1:7" ht="12.75">
      <c r="A2782" s="783" t="s">
        <v>441</v>
      </c>
      <c r="B2782" s="784"/>
      <c r="C2782" s="784"/>
      <c r="D2782" s="784"/>
      <c r="E2782" s="784"/>
      <c r="F2782" s="784"/>
      <c r="G2782" s="440">
        <f>SUM(G2780:G2781)</f>
        <v>16.42129</v>
      </c>
    </row>
    <row r="2783" spans="1:7" ht="12.75">
      <c r="A2783" s="783" t="s">
        <v>442</v>
      </c>
      <c r="B2783" s="784"/>
      <c r="C2783" s="784"/>
      <c r="D2783" s="784"/>
      <c r="E2783" s="784"/>
      <c r="F2783" s="784"/>
      <c r="G2783" s="440">
        <f>G2780*85.16%</f>
        <v>0.6983119999999999</v>
      </c>
    </row>
    <row r="2784" spans="1:7" ht="12.75">
      <c r="A2784" s="783" t="s">
        <v>443</v>
      </c>
      <c r="B2784" s="784"/>
      <c r="C2784" s="784"/>
      <c r="D2784" s="784"/>
      <c r="E2784" s="784"/>
      <c r="F2784" s="784"/>
      <c r="G2784" s="440">
        <f>G2783</f>
        <v>0.6983119999999999</v>
      </c>
    </row>
    <row r="2785" spans="1:7" ht="12.75">
      <c r="A2785" s="785" t="s">
        <v>444</v>
      </c>
      <c r="B2785" s="786"/>
      <c r="C2785" s="786"/>
      <c r="D2785" s="786"/>
      <c r="E2785" s="786"/>
      <c r="F2785" s="787"/>
      <c r="G2785" s="440">
        <f>G2781</f>
        <v>15.601289999999999</v>
      </c>
    </row>
    <row r="2786" spans="1:7" ht="12.75">
      <c r="A2786" s="785" t="s">
        <v>445</v>
      </c>
      <c r="B2786" s="786"/>
      <c r="C2786" s="786"/>
      <c r="D2786" s="786"/>
      <c r="E2786" s="786"/>
      <c r="F2786" s="787"/>
      <c r="G2786" s="440">
        <f>G2780+G2784</f>
        <v>1.5183119999999999</v>
      </c>
    </row>
    <row r="2787" spans="1:7" ht="12.75">
      <c r="A2787" s="785" t="s">
        <v>446</v>
      </c>
      <c r="B2787" s="786"/>
      <c r="C2787" s="786"/>
      <c r="D2787" s="786"/>
      <c r="E2787" s="786"/>
      <c r="F2787" s="787"/>
      <c r="G2787" s="440">
        <f>SUM(G2785:G2786)</f>
        <v>17.119602</v>
      </c>
    </row>
    <row r="2788" spans="1:7" ht="12.75">
      <c r="A2788" s="295"/>
      <c r="B2788" s="296"/>
      <c r="C2788" s="296"/>
      <c r="D2788" s="296"/>
      <c r="E2788" s="459"/>
      <c r="F2788" s="459"/>
      <c r="G2788" s="460"/>
    </row>
    <row r="2789" spans="1:7" ht="12.75">
      <c r="A2789" s="597" t="s">
        <v>1694</v>
      </c>
      <c r="B2789" s="595"/>
      <c r="C2789" s="595"/>
      <c r="D2789" s="595"/>
      <c r="E2789" s="589"/>
      <c r="F2789" s="589"/>
      <c r="G2789" s="590"/>
    </row>
    <row r="2790" spans="1:7" ht="51">
      <c r="A2790" s="171" t="s">
        <v>731</v>
      </c>
      <c r="B2790" s="182" t="s">
        <v>732</v>
      </c>
      <c r="C2790" s="172" t="s">
        <v>72</v>
      </c>
      <c r="D2790" s="172" t="s">
        <v>71</v>
      </c>
      <c r="E2790" s="373"/>
      <c r="F2790" s="374"/>
      <c r="G2790" s="375"/>
    </row>
    <row r="2791" spans="1:7" ht="38.25">
      <c r="A2791" s="173" t="s">
        <v>492</v>
      </c>
      <c r="B2791" s="174" t="s">
        <v>493</v>
      </c>
      <c r="C2791" s="175" t="s">
        <v>72</v>
      </c>
      <c r="D2791" s="175" t="s">
        <v>77</v>
      </c>
      <c r="E2791" s="434">
        <v>0.02</v>
      </c>
      <c r="F2791" s="435">
        <v>12.86</v>
      </c>
      <c r="G2791" s="436">
        <f>E2791*F2791</f>
        <v>0.2572</v>
      </c>
    </row>
    <row r="2792" spans="1:7" ht="25.5">
      <c r="A2792" s="173" t="s">
        <v>494</v>
      </c>
      <c r="B2792" s="174" t="s">
        <v>495</v>
      </c>
      <c r="C2792" s="175" t="s">
        <v>72</v>
      </c>
      <c r="D2792" s="175" t="s">
        <v>77</v>
      </c>
      <c r="E2792" s="434">
        <v>0.02</v>
      </c>
      <c r="F2792" s="435">
        <v>15.12</v>
      </c>
      <c r="G2792" s="436">
        <f>E2792*F2792</f>
        <v>0.3024</v>
      </c>
    </row>
    <row r="2793" spans="1:7" ht="25.5">
      <c r="A2793" s="173" t="s">
        <v>733</v>
      </c>
      <c r="B2793" s="174" t="s">
        <v>734</v>
      </c>
      <c r="C2793" s="175" t="s">
        <v>73</v>
      </c>
      <c r="D2793" s="175" t="s">
        <v>71</v>
      </c>
      <c r="E2793" s="434">
        <v>1.061</v>
      </c>
      <c r="F2793" s="435">
        <v>5.21</v>
      </c>
      <c r="G2793" s="436">
        <f>E2793*F2793</f>
        <v>5.52781</v>
      </c>
    </row>
    <row r="2794" spans="1:7" ht="12.75">
      <c r="A2794" s="783" t="s">
        <v>439</v>
      </c>
      <c r="B2794" s="784"/>
      <c r="C2794" s="784"/>
      <c r="D2794" s="784"/>
      <c r="E2794" s="784"/>
      <c r="F2794" s="784"/>
      <c r="G2794" s="440">
        <f>ROUNDUP(SUM(G2791:G2792),2)</f>
        <v>0.56</v>
      </c>
    </row>
    <row r="2795" spans="1:7" ht="12.75">
      <c r="A2795" s="783" t="s">
        <v>440</v>
      </c>
      <c r="B2795" s="784"/>
      <c r="C2795" s="784"/>
      <c r="D2795" s="784"/>
      <c r="E2795" s="784"/>
      <c r="F2795" s="784"/>
      <c r="G2795" s="440">
        <f>G2793</f>
        <v>5.52781</v>
      </c>
    </row>
    <row r="2796" spans="1:7" ht="12.75">
      <c r="A2796" s="783" t="s">
        <v>441</v>
      </c>
      <c r="B2796" s="784"/>
      <c r="C2796" s="784"/>
      <c r="D2796" s="784"/>
      <c r="E2796" s="784"/>
      <c r="F2796" s="784"/>
      <c r="G2796" s="440">
        <f>SUM(G2794:G2795)</f>
        <v>6.087809999999999</v>
      </c>
    </row>
    <row r="2797" spans="1:7" ht="12.75">
      <c r="A2797" s="783" t="s">
        <v>442</v>
      </c>
      <c r="B2797" s="784"/>
      <c r="C2797" s="784"/>
      <c r="D2797" s="784"/>
      <c r="E2797" s="784"/>
      <c r="F2797" s="784"/>
      <c r="G2797" s="440">
        <f>G2794*85.16%</f>
        <v>0.476896</v>
      </c>
    </row>
    <row r="2798" spans="1:7" ht="12.75">
      <c r="A2798" s="783" t="s">
        <v>443</v>
      </c>
      <c r="B2798" s="784"/>
      <c r="C2798" s="784"/>
      <c r="D2798" s="784"/>
      <c r="E2798" s="784"/>
      <c r="F2798" s="784"/>
      <c r="G2798" s="440">
        <f>G2797</f>
        <v>0.476896</v>
      </c>
    </row>
    <row r="2799" spans="1:7" ht="12.75">
      <c r="A2799" s="785" t="s">
        <v>444</v>
      </c>
      <c r="B2799" s="786"/>
      <c r="C2799" s="786"/>
      <c r="D2799" s="786"/>
      <c r="E2799" s="786"/>
      <c r="F2799" s="787"/>
      <c r="G2799" s="440">
        <f>G2795</f>
        <v>5.52781</v>
      </c>
    </row>
    <row r="2800" spans="1:7" ht="12.75">
      <c r="A2800" s="785" t="s">
        <v>445</v>
      </c>
      <c r="B2800" s="786"/>
      <c r="C2800" s="786"/>
      <c r="D2800" s="786"/>
      <c r="E2800" s="786"/>
      <c r="F2800" s="787"/>
      <c r="G2800" s="440">
        <f>G2794+G2798</f>
        <v>1.036896</v>
      </c>
    </row>
    <row r="2801" spans="1:7" ht="12.75">
      <c r="A2801" s="785" t="s">
        <v>446</v>
      </c>
      <c r="B2801" s="786"/>
      <c r="C2801" s="786"/>
      <c r="D2801" s="786"/>
      <c r="E2801" s="786"/>
      <c r="F2801" s="787"/>
      <c r="G2801" s="440">
        <f>SUM(G2799:G2800)</f>
        <v>6.564705999999999</v>
      </c>
    </row>
    <row r="2802" spans="1:7" ht="12.75">
      <c r="A2802" s="796"/>
      <c r="B2802" s="797"/>
      <c r="C2802" s="797"/>
      <c r="D2802" s="797"/>
      <c r="E2802" s="797"/>
      <c r="F2802" s="797"/>
      <c r="G2802" s="798"/>
    </row>
    <row r="2803" spans="1:7" ht="12.75">
      <c r="A2803" s="804"/>
      <c r="B2803" s="805"/>
      <c r="C2803" s="805"/>
      <c r="D2803" s="805"/>
      <c r="E2803" s="805"/>
      <c r="F2803" s="805"/>
      <c r="G2803" s="806"/>
    </row>
    <row r="2804" spans="1:7" ht="12.75">
      <c r="A2804" s="597" t="s">
        <v>1695</v>
      </c>
      <c r="B2804" s="595"/>
      <c r="C2804" s="595"/>
      <c r="D2804" s="595"/>
      <c r="E2804" s="595"/>
      <c r="F2804" s="595"/>
      <c r="G2804" s="596"/>
    </row>
    <row r="2805" spans="1:7" ht="51">
      <c r="A2805" s="171" t="s">
        <v>729</v>
      </c>
      <c r="B2805" s="182" t="s">
        <v>730</v>
      </c>
      <c r="C2805" s="172" t="s">
        <v>72</v>
      </c>
      <c r="D2805" s="172" t="s">
        <v>71</v>
      </c>
      <c r="E2805" s="373"/>
      <c r="F2805" s="374"/>
      <c r="G2805" s="375"/>
    </row>
    <row r="2806" spans="1:7" ht="38.25">
      <c r="A2806" s="173" t="s">
        <v>492</v>
      </c>
      <c r="B2806" s="174" t="s">
        <v>493</v>
      </c>
      <c r="C2806" s="175" t="s">
        <v>72</v>
      </c>
      <c r="D2806" s="175" t="s">
        <v>77</v>
      </c>
      <c r="E2806" s="434">
        <v>0.016</v>
      </c>
      <c r="F2806" s="435">
        <v>12.86</v>
      </c>
      <c r="G2806" s="436">
        <f>E2806*F2806</f>
        <v>0.20576</v>
      </c>
    </row>
    <row r="2807" spans="1:7" ht="25.5">
      <c r="A2807" s="173" t="s">
        <v>494</v>
      </c>
      <c r="B2807" s="174" t="s">
        <v>495</v>
      </c>
      <c r="C2807" s="175" t="s">
        <v>72</v>
      </c>
      <c r="D2807" s="175" t="s">
        <v>77</v>
      </c>
      <c r="E2807" s="434">
        <v>0.016</v>
      </c>
      <c r="F2807" s="435">
        <v>15.12</v>
      </c>
      <c r="G2807" s="436">
        <f>E2807*F2807</f>
        <v>0.24192</v>
      </c>
    </row>
    <row r="2808" spans="1:7" ht="25.5">
      <c r="A2808" s="173" t="s">
        <v>727</v>
      </c>
      <c r="B2808" s="174" t="s">
        <v>728</v>
      </c>
      <c r="C2808" s="175" t="s">
        <v>73</v>
      </c>
      <c r="D2808" s="175" t="s">
        <v>71</v>
      </c>
      <c r="E2808" s="434">
        <v>1.061</v>
      </c>
      <c r="F2808" s="435">
        <v>2.43</v>
      </c>
      <c r="G2808" s="436">
        <f>E2808*F2808</f>
        <v>2.57823</v>
      </c>
    </row>
    <row r="2809" spans="1:7" ht="12.75">
      <c r="A2809" s="783" t="s">
        <v>439</v>
      </c>
      <c r="B2809" s="784"/>
      <c r="C2809" s="784"/>
      <c r="D2809" s="784"/>
      <c r="E2809" s="784"/>
      <c r="F2809" s="784"/>
      <c r="G2809" s="440">
        <f>ROUNDUP(SUM(G2806:G2807),2)</f>
        <v>0.45</v>
      </c>
    </row>
    <row r="2810" spans="1:7" ht="12.75">
      <c r="A2810" s="783" t="s">
        <v>440</v>
      </c>
      <c r="B2810" s="784"/>
      <c r="C2810" s="784"/>
      <c r="D2810" s="784"/>
      <c r="E2810" s="784"/>
      <c r="F2810" s="784"/>
      <c r="G2810" s="440">
        <f>G2808</f>
        <v>2.57823</v>
      </c>
    </row>
    <row r="2811" spans="1:7" ht="12.75">
      <c r="A2811" s="783" t="s">
        <v>441</v>
      </c>
      <c r="B2811" s="784"/>
      <c r="C2811" s="784"/>
      <c r="D2811" s="784"/>
      <c r="E2811" s="784"/>
      <c r="F2811" s="784"/>
      <c r="G2811" s="440">
        <f>SUM(G2809:G2810)</f>
        <v>3.02823</v>
      </c>
    </row>
    <row r="2812" spans="1:7" ht="12.75">
      <c r="A2812" s="783" t="s">
        <v>442</v>
      </c>
      <c r="B2812" s="784"/>
      <c r="C2812" s="784"/>
      <c r="D2812" s="784"/>
      <c r="E2812" s="784"/>
      <c r="F2812" s="784"/>
      <c r="G2812" s="440">
        <f>G2809*85.16%</f>
        <v>0.38321999999999995</v>
      </c>
    </row>
    <row r="2813" spans="1:7" ht="12.75">
      <c r="A2813" s="783" t="s">
        <v>443</v>
      </c>
      <c r="B2813" s="784"/>
      <c r="C2813" s="784"/>
      <c r="D2813" s="784"/>
      <c r="E2813" s="784"/>
      <c r="F2813" s="784"/>
      <c r="G2813" s="440">
        <f>G2812</f>
        <v>0.38321999999999995</v>
      </c>
    </row>
    <row r="2814" spans="1:7" ht="12.75">
      <c r="A2814" s="785" t="s">
        <v>444</v>
      </c>
      <c r="B2814" s="786"/>
      <c r="C2814" s="786"/>
      <c r="D2814" s="786"/>
      <c r="E2814" s="786"/>
      <c r="F2814" s="787"/>
      <c r="G2814" s="440">
        <f>G2810</f>
        <v>2.57823</v>
      </c>
    </row>
    <row r="2815" spans="1:7" ht="12.75">
      <c r="A2815" s="785" t="s">
        <v>445</v>
      </c>
      <c r="B2815" s="786"/>
      <c r="C2815" s="786"/>
      <c r="D2815" s="786"/>
      <c r="E2815" s="786"/>
      <c r="F2815" s="787"/>
      <c r="G2815" s="440">
        <f>G2809+G2813</f>
        <v>0.83322</v>
      </c>
    </row>
    <row r="2816" spans="1:7" ht="12.75">
      <c r="A2816" s="785" t="s">
        <v>446</v>
      </c>
      <c r="B2816" s="786"/>
      <c r="C2816" s="786"/>
      <c r="D2816" s="786"/>
      <c r="E2816" s="786"/>
      <c r="F2816" s="787"/>
      <c r="G2816" s="440">
        <f>SUM(G2814:G2815)</f>
        <v>3.41145</v>
      </c>
    </row>
    <row r="2817" spans="1:7" ht="12.75">
      <c r="A2817" s="508"/>
      <c r="B2817" s="509"/>
      <c r="C2817" s="509"/>
      <c r="D2817" s="509"/>
      <c r="E2817" s="509"/>
      <c r="F2817" s="510"/>
      <c r="G2817" s="440"/>
    </row>
    <row r="2818" spans="1:7" ht="12.75">
      <c r="A2818" s="696"/>
      <c r="B2818" s="697"/>
      <c r="C2818" s="697"/>
      <c r="D2818" s="697"/>
      <c r="E2818" s="697"/>
      <c r="F2818" s="698"/>
      <c r="G2818" s="440"/>
    </row>
    <row r="2819" spans="1:7" ht="12.75">
      <c r="A2819" s="699" t="s">
        <v>1557</v>
      </c>
      <c r="B2819" s="699" t="s">
        <v>1558</v>
      </c>
      <c r="C2819" s="697"/>
      <c r="D2819" s="697"/>
      <c r="E2819" s="697"/>
      <c r="F2819" s="698"/>
      <c r="G2819" s="440"/>
    </row>
    <row r="2820" spans="1:7" ht="12.75">
      <c r="A2820" s="699" t="s">
        <v>1772</v>
      </c>
      <c r="B2820" s="699"/>
      <c r="C2820" s="697"/>
      <c r="D2820" s="697"/>
      <c r="E2820" s="697"/>
      <c r="F2820" s="698"/>
      <c r="G2820" s="440"/>
    </row>
    <row r="2821" spans="1:7" ht="38.25">
      <c r="A2821" s="171" t="s">
        <v>1325</v>
      </c>
      <c r="B2821" s="511" t="s">
        <v>1326</v>
      </c>
      <c r="C2821" s="172" t="s">
        <v>72</v>
      </c>
      <c r="D2821" s="172" t="s">
        <v>75</v>
      </c>
      <c r="E2821" s="373"/>
      <c r="F2821" s="374"/>
      <c r="G2821" s="375"/>
    </row>
    <row r="2822" spans="1:7" ht="25.5">
      <c r="A2822" s="173">
        <v>3146</v>
      </c>
      <c r="B2822" s="174" t="s">
        <v>1013</v>
      </c>
      <c r="C2822" s="175" t="s">
        <v>73</v>
      </c>
      <c r="D2822" s="175" t="s">
        <v>75</v>
      </c>
      <c r="E2822" s="434">
        <v>0.0175</v>
      </c>
      <c r="F2822" s="435">
        <v>2.55</v>
      </c>
      <c r="G2822" s="436">
        <f>E2822*F2822</f>
        <v>0.044625</v>
      </c>
    </row>
    <row r="2823" spans="1:7" ht="25.5">
      <c r="A2823" s="173">
        <v>6141</v>
      </c>
      <c r="B2823" s="174" t="s">
        <v>1329</v>
      </c>
      <c r="C2823" s="175" t="s">
        <v>73</v>
      </c>
      <c r="D2823" s="175" t="s">
        <v>75</v>
      </c>
      <c r="E2823" s="434">
        <v>1</v>
      </c>
      <c r="F2823" s="435">
        <v>4.02</v>
      </c>
      <c r="G2823" s="436">
        <f>E2823*F2823</f>
        <v>4.02</v>
      </c>
    </row>
    <row r="2824" spans="1:7" ht="25.5">
      <c r="A2824" s="173" t="s">
        <v>1327</v>
      </c>
      <c r="B2824" s="174" t="s">
        <v>495</v>
      </c>
      <c r="C2824" s="175" t="s">
        <v>72</v>
      </c>
      <c r="D2824" s="175" t="s">
        <v>77</v>
      </c>
      <c r="E2824" s="434">
        <v>0.15</v>
      </c>
      <c r="F2824" s="435">
        <v>15.12</v>
      </c>
      <c r="G2824" s="436">
        <f>E2824*F2824</f>
        <v>2.268</v>
      </c>
    </row>
    <row r="2825" spans="1:7" ht="25.5">
      <c r="A2825" s="173" t="s">
        <v>1328</v>
      </c>
      <c r="B2825" s="174" t="s">
        <v>438</v>
      </c>
      <c r="C2825" s="175" t="s">
        <v>72</v>
      </c>
      <c r="D2825" s="175" t="s">
        <v>77</v>
      </c>
      <c r="E2825" s="434">
        <v>0.05</v>
      </c>
      <c r="F2825" s="435">
        <v>12.64</v>
      </c>
      <c r="G2825" s="436">
        <f>E2825*F2825</f>
        <v>0.6320000000000001</v>
      </c>
    </row>
    <row r="2826" spans="1:7" ht="12.75">
      <c r="A2826" s="783" t="s">
        <v>439</v>
      </c>
      <c r="B2826" s="784"/>
      <c r="C2826" s="784"/>
      <c r="D2826" s="784"/>
      <c r="E2826" s="784"/>
      <c r="F2826" s="784"/>
      <c r="G2826" s="440">
        <f>ROUNDUP(SUM(G2824:G2825),2)</f>
        <v>2.9</v>
      </c>
    </row>
    <row r="2827" spans="1:7" ht="12.75">
      <c r="A2827" s="783" t="s">
        <v>440</v>
      </c>
      <c r="B2827" s="784"/>
      <c r="C2827" s="784"/>
      <c r="D2827" s="784"/>
      <c r="E2827" s="784"/>
      <c r="F2827" s="784"/>
      <c r="G2827" s="440">
        <f>SUM(G2822:G2823)</f>
        <v>4.0646249999999995</v>
      </c>
    </row>
    <row r="2828" spans="1:7" ht="12.75">
      <c r="A2828" s="783" t="s">
        <v>441</v>
      </c>
      <c r="B2828" s="784"/>
      <c r="C2828" s="784"/>
      <c r="D2828" s="784"/>
      <c r="E2828" s="784"/>
      <c r="F2828" s="784"/>
      <c r="G2828" s="440">
        <f>SUM(G2826:G2827)</f>
        <v>6.964625</v>
      </c>
    </row>
    <row r="2829" spans="1:7" ht="12.75">
      <c r="A2829" s="783" t="s">
        <v>442</v>
      </c>
      <c r="B2829" s="784"/>
      <c r="C2829" s="784"/>
      <c r="D2829" s="784"/>
      <c r="E2829" s="784"/>
      <c r="F2829" s="784"/>
      <c r="G2829" s="440">
        <f>G2826*85.16%</f>
        <v>2.4696399999999996</v>
      </c>
    </row>
    <row r="2830" spans="1:7" ht="12.75">
      <c r="A2830" s="783" t="s">
        <v>443</v>
      </c>
      <c r="B2830" s="784"/>
      <c r="C2830" s="784"/>
      <c r="D2830" s="784"/>
      <c r="E2830" s="784"/>
      <c r="F2830" s="784"/>
      <c r="G2830" s="440">
        <f>G2829</f>
        <v>2.4696399999999996</v>
      </c>
    </row>
    <row r="2831" spans="1:7" ht="12.75">
      <c r="A2831" s="785" t="s">
        <v>444</v>
      </c>
      <c r="B2831" s="786"/>
      <c r="C2831" s="786"/>
      <c r="D2831" s="786"/>
      <c r="E2831" s="786"/>
      <c r="F2831" s="787"/>
      <c r="G2831" s="440">
        <f>G2827</f>
        <v>4.0646249999999995</v>
      </c>
    </row>
    <row r="2832" spans="1:7" ht="12.75">
      <c r="A2832" s="785" t="s">
        <v>445</v>
      </c>
      <c r="B2832" s="786"/>
      <c r="C2832" s="786"/>
      <c r="D2832" s="786"/>
      <c r="E2832" s="786"/>
      <c r="F2832" s="787"/>
      <c r="G2832" s="440">
        <f>G2826+G2830</f>
        <v>5.3696399999999995</v>
      </c>
    </row>
    <row r="2833" spans="1:7" ht="12.75">
      <c r="A2833" s="785" t="s">
        <v>446</v>
      </c>
      <c r="B2833" s="786"/>
      <c r="C2833" s="786"/>
      <c r="D2833" s="786"/>
      <c r="E2833" s="786"/>
      <c r="F2833" s="787"/>
      <c r="G2833" s="440">
        <f>SUM(G2831:G2832)</f>
        <v>9.434265</v>
      </c>
    </row>
    <row r="2834" spans="1:7" ht="12.75">
      <c r="A2834" s="508"/>
      <c r="B2834" s="509"/>
      <c r="C2834" s="509"/>
      <c r="D2834" s="509"/>
      <c r="E2834" s="509"/>
      <c r="F2834" s="510"/>
      <c r="G2834" s="440"/>
    </row>
    <row r="2835" spans="1:7" ht="12.75">
      <c r="A2835" s="508"/>
      <c r="B2835" s="509"/>
      <c r="C2835" s="509"/>
      <c r="D2835" s="509"/>
      <c r="E2835" s="509"/>
      <c r="F2835" s="510"/>
      <c r="G2835" s="440"/>
    </row>
    <row r="2836" spans="1:7" ht="12.75">
      <c r="A2836" s="586"/>
      <c r="B2836" s="587"/>
      <c r="C2836" s="587"/>
      <c r="D2836" s="587"/>
      <c r="E2836" s="587"/>
      <c r="F2836" s="588"/>
      <c r="G2836" s="440"/>
    </row>
    <row r="2837" spans="1:7" ht="12.75">
      <c r="A2837" s="597" t="s">
        <v>1631</v>
      </c>
      <c r="B2837" s="597" t="s">
        <v>1632</v>
      </c>
      <c r="C2837" s="587"/>
      <c r="D2837" s="587"/>
      <c r="E2837" s="587"/>
      <c r="F2837" s="588"/>
      <c r="G2837" s="440"/>
    </row>
    <row r="2838" spans="1:7" ht="12.75">
      <c r="A2838" s="597" t="s">
        <v>1633</v>
      </c>
      <c r="B2838" s="597" t="s">
        <v>1634</v>
      </c>
      <c r="C2838" s="587"/>
      <c r="D2838" s="587"/>
      <c r="E2838" s="587"/>
      <c r="F2838" s="588"/>
      <c r="G2838" s="440"/>
    </row>
    <row r="2839" spans="1:7" ht="12.75">
      <c r="A2839" s="597" t="s">
        <v>1773</v>
      </c>
      <c r="B2839" s="597"/>
      <c r="C2839" s="587"/>
      <c r="D2839" s="587"/>
      <c r="E2839" s="587"/>
      <c r="F2839" s="588"/>
      <c r="G2839" s="440"/>
    </row>
    <row r="2840" spans="1:7" ht="102">
      <c r="A2840" s="171" t="s">
        <v>1338</v>
      </c>
      <c r="B2840" s="511" t="s">
        <v>1339</v>
      </c>
      <c r="C2840" s="172" t="s">
        <v>72</v>
      </c>
      <c r="D2840" s="172" t="s">
        <v>75</v>
      </c>
      <c r="E2840" s="373"/>
      <c r="F2840" s="374"/>
      <c r="G2840" s="375"/>
    </row>
    <row r="2841" spans="1:7" ht="12.75">
      <c r="A2841" s="173">
        <v>1379</v>
      </c>
      <c r="B2841" s="174" t="s">
        <v>525</v>
      </c>
      <c r="C2841" s="172" t="s">
        <v>73</v>
      </c>
      <c r="D2841" s="175" t="s">
        <v>1350</v>
      </c>
      <c r="E2841" s="434">
        <v>0.9333333</v>
      </c>
      <c r="F2841" s="435">
        <v>0.47</v>
      </c>
      <c r="G2841" s="436">
        <f aca="true" t="shared" si="39" ref="G2841:G2849">E2841*F2841</f>
        <v>0.43866665099999996</v>
      </c>
    </row>
    <row r="2842" spans="1:16" ht="38.25">
      <c r="A2842" s="173" t="s">
        <v>1340</v>
      </c>
      <c r="B2842" s="174" t="s">
        <v>1346</v>
      </c>
      <c r="C2842" s="172" t="s">
        <v>72</v>
      </c>
      <c r="D2842" s="175" t="s">
        <v>5</v>
      </c>
      <c r="E2842" s="466">
        <v>1.33</v>
      </c>
      <c r="F2842" s="435">
        <v>23.25</v>
      </c>
      <c r="G2842" s="436">
        <f t="shared" si="39"/>
        <v>30.922500000000003</v>
      </c>
      <c r="N2842" s="520"/>
      <c r="P2842" s="519"/>
    </row>
    <row r="2843" spans="1:7" ht="25.5">
      <c r="A2843" s="173">
        <v>7258</v>
      </c>
      <c r="B2843" s="174" t="s">
        <v>513</v>
      </c>
      <c r="C2843" s="172" t="s">
        <v>73</v>
      </c>
      <c r="D2843" s="175" t="s">
        <v>5</v>
      </c>
      <c r="E2843" s="466">
        <v>93.333</v>
      </c>
      <c r="F2843" s="435">
        <v>0.27</v>
      </c>
      <c r="G2843" s="436">
        <f t="shared" si="39"/>
        <v>25.199910000000003</v>
      </c>
    </row>
    <row r="2844" spans="1:14" ht="76.5">
      <c r="A2844" s="173" t="s">
        <v>1341</v>
      </c>
      <c r="B2844" s="174" t="s">
        <v>515</v>
      </c>
      <c r="C2844" s="172" t="s">
        <v>72</v>
      </c>
      <c r="D2844" s="175" t="s">
        <v>24</v>
      </c>
      <c r="E2844" s="466">
        <v>0.0266</v>
      </c>
      <c r="F2844" s="435">
        <v>345.11</v>
      </c>
      <c r="G2844" s="436">
        <f t="shared" si="39"/>
        <v>9.179926</v>
      </c>
      <c r="N2844" s="521"/>
    </row>
    <row r="2845" spans="1:7" ht="25.5">
      <c r="A2845" s="173" t="s">
        <v>1342</v>
      </c>
      <c r="B2845" s="174" t="s">
        <v>450</v>
      </c>
      <c r="C2845" s="172" t="s">
        <v>72</v>
      </c>
      <c r="D2845" s="175" t="s">
        <v>77</v>
      </c>
      <c r="E2845" s="466">
        <v>2.22</v>
      </c>
      <c r="F2845" s="435">
        <v>15.14</v>
      </c>
      <c r="G2845" s="436">
        <f t="shared" si="39"/>
        <v>33.610800000000005</v>
      </c>
    </row>
    <row r="2846" spans="1:7" ht="25.5">
      <c r="A2846" s="173" t="s">
        <v>1328</v>
      </c>
      <c r="B2846" s="174" t="s">
        <v>438</v>
      </c>
      <c r="C2846" s="172" t="s">
        <v>72</v>
      </c>
      <c r="D2846" s="175" t="s">
        <v>77</v>
      </c>
      <c r="E2846" s="466">
        <v>1.925</v>
      </c>
      <c r="F2846" s="435">
        <v>12.64</v>
      </c>
      <c r="G2846" s="436">
        <f t="shared" si="39"/>
        <v>24.332</v>
      </c>
    </row>
    <row r="2847" spans="1:7" ht="38.25">
      <c r="A2847" s="173" t="s">
        <v>1343</v>
      </c>
      <c r="B2847" s="174" t="s">
        <v>1347</v>
      </c>
      <c r="C2847" s="172" t="s">
        <v>72</v>
      </c>
      <c r="D2847" s="175" t="s">
        <v>24</v>
      </c>
      <c r="E2847" s="466">
        <v>0.01925</v>
      </c>
      <c r="F2847" s="435">
        <v>285.22</v>
      </c>
      <c r="G2847" s="436">
        <f t="shared" si="39"/>
        <v>5.4904850000000005</v>
      </c>
    </row>
    <row r="2848" spans="1:7" ht="25.5">
      <c r="A2848" s="173" t="s">
        <v>1344</v>
      </c>
      <c r="B2848" s="174" t="s">
        <v>1348</v>
      </c>
      <c r="C2848" s="172" t="s">
        <v>72</v>
      </c>
      <c r="D2848" s="175" t="s">
        <v>24</v>
      </c>
      <c r="E2848" s="466">
        <v>0.288</v>
      </c>
      <c r="F2848" s="435">
        <v>49.99</v>
      </c>
      <c r="G2848" s="436">
        <f t="shared" si="39"/>
        <v>14.39712</v>
      </c>
    </row>
    <row r="2849" spans="1:7" ht="51">
      <c r="A2849" s="173" t="s">
        <v>1345</v>
      </c>
      <c r="B2849" s="174" t="s">
        <v>1349</v>
      </c>
      <c r="C2849" s="172" t="s">
        <v>72</v>
      </c>
      <c r="D2849" s="175" t="s">
        <v>24</v>
      </c>
      <c r="E2849" s="466">
        <v>0.024</v>
      </c>
      <c r="F2849" s="435">
        <v>259.64</v>
      </c>
      <c r="G2849" s="436">
        <f t="shared" si="39"/>
        <v>6.23136</v>
      </c>
    </row>
    <row r="2850" spans="1:7" ht="12.75">
      <c r="A2850" s="783" t="s">
        <v>439</v>
      </c>
      <c r="B2850" s="784"/>
      <c r="C2850" s="784"/>
      <c r="D2850" s="784"/>
      <c r="E2850" s="784"/>
      <c r="F2850" s="784"/>
      <c r="G2850" s="440">
        <f>ROUNDUP(SUM(G2848:G2849),2)</f>
        <v>20.630000000000003</v>
      </c>
    </row>
    <row r="2851" spans="1:7" ht="12.75">
      <c r="A2851" s="783" t="s">
        <v>440</v>
      </c>
      <c r="B2851" s="784"/>
      <c r="C2851" s="784"/>
      <c r="D2851" s="784"/>
      <c r="E2851" s="784"/>
      <c r="F2851" s="784"/>
      <c r="G2851" s="440">
        <f>ROUNDUP(SUM(G2841:G2847),2)</f>
        <v>129.17999999999998</v>
      </c>
    </row>
    <row r="2852" spans="1:7" ht="12.75">
      <c r="A2852" s="783" t="s">
        <v>441</v>
      </c>
      <c r="B2852" s="784"/>
      <c r="C2852" s="784"/>
      <c r="D2852" s="784"/>
      <c r="E2852" s="784"/>
      <c r="F2852" s="784"/>
      <c r="G2852" s="440">
        <f>SUM(G2850:G2851)</f>
        <v>149.80999999999997</v>
      </c>
    </row>
    <row r="2853" spans="1:7" ht="12.75">
      <c r="A2853" s="783" t="s">
        <v>442</v>
      </c>
      <c r="B2853" s="784"/>
      <c r="C2853" s="784"/>
      <c r="D2853" s="784"/>
      <c r="E2853" s="784"/>
      <c r="F2853" s="784"/>
      <c r="G2853" s="440">
        <f>G2850*85.16%</f>
        <v>17.568508</v>
      </c>
    </row>
    <row r="2854" spans="1:7" ht="12.75">
      <c r="A2854" s="783" t="s">
        <v>443</v>
      </c>
      <c r="B2854" s="784"/>
      <c r="C2854" s="784"/>
      <c r="D2854" s="784"/>
      <c r="E2854" s="784"/>
      <c r="F2854" s="784"/>
      <c r="G2854" s="440">
        <f>G2853</f>
        <v>17.568508</v>
      </c>
    </row>
    <row r="2855" spans="1:7" ht="12.75">
      <c r="A2855" s="785" t="s">
        <v>444</v>
      </c>
      <c r="B2855" s="786"/>
      <c r="C2855" s="786"/>
      <c r="D2855" s="786"/>
      <c r="E2855" s="786"/>
      <c r="F2855" s="787"/>
      <c r="G2855" s="440">
        <f>G2851</f>
        <v>129.17999999999998</v>
      </c>
    </row>
    <row r="2856" spans="1:7" ht="12.75">
      <c r="A2856" s="785" t="s">
        <v>445</v>
      </c>
      <c r="B2856" s="786"/>
      <c r="C2856" s="786"/>
      <c r="D2856" s="786"/>
      <c r="E2856" s="786"/>
      <c r="F2856" s="787"/>
      <c r="G2856" s="440">
        <f>G2850+G2854</f>
        <v>38.198508000000004</v>
      </c>
    </row>
    <row r="2857" spans="1:7" ht="12.75">
      <c r="A2857" s="785" t="s">
        <v>446</v>
      </c>
      <c r="B2857" s="786"/>
      <c r="C2857" s="786"/>
      <c r="D2857" s="786"/>
      <c r="E2857" s="786"/>
      <c r="F2857" s="787"/>
      <c r="G2857" s="440">
        <f>SUM(G2855:G2856)</f>
        <v>167.37850799999998</v>
      </c>
    </row>
    <row r="2858" spans="1:7" ht="12.75">
      <c r="A2858" s="491" t="s">
        <v>83</v>
      </c>
      <c r="B2858" s="799" t="s">
        <v>1351</v>
      </c>
      <c r="C2858" s="799"/>
      <c r="D2858" s="799"/>
      <c r="E2858" s="799"/>
      <c r="F2858" s="799"/>
      <c r="G2858" s="800"/>
    </row>
    <row r="2859" spans="1:7" ht="12.75">
      <c r="A2859" s="508"/>
      <c r="B2859" s="509"/>
      <c r="C2859" s="509"/>
      <c r="D2859" s="509"/>
      <c r="E2859" s="509"/>
      <c r="F2859" s="510"/>
      <c r="G2859" s="440"/>
    </row>
    <row r="2860" spans="1:7" ht="12.75">
      <c r="A2860" s="796"/>
      <c r="B2860" s="797"/>
      <c r="C2860" s="797"/>
      <c r="D2860" s="797"/>
      <c r="E2860" s="797"/>
      <c r="F2860" s="797"/>
      <c r="G2860" s="798"/>
    </row>
    <row r="2861" spans="1:7" ht="12.75">
      <c r="A2861" s="597" t="s">
        <v>1774</v>
      </c>
      <c r="B2861" s="597" t="s">
        <v>1775</v>
      </c>
      <c r="C2861" s="592"/>
      <c r="D2861" s="592"/>
      <c r="E2861" s="592"/>
      <c r="F2861" s="592"/>
      <c r="G2861" s="593"/>
    </row>
    <row r="2862" spans="1:7" ht="12.75">
      <c r="A2862" s="597" t="s">
        <v>1780</v>
      </c>
      <c r="B2862" s="597"/>
      <c r="C2862" s="592"/>
      <c r="D2862" s="592"/>
      <c r="E2862" s="592"/>
      <c r="F2862" s="592"/>
      <c r="G2862" s="593"/>
    </row>
    <row r="2863" spans="1:7" ht="51">
      <c r="A2863" s="171" t="s">
        <v>1248</v>
      </c>
      <c r="B2863" s="299" t="s">
        <v>1249</v>
      </c>
      <c r="C2863" s="172" t="s">
        <v>72</v>
      </c>
      <c r="D2863" s="172" t="s">
        <v>75</v>
      </c>
      <c r="E2863" s="373"/>
      <c r="F2863" s="374"/>
      <c r="G2863" s="375"/>
    </row>
    <row r="2864" spans="1:7" ht="51">
      <c r="A2864" s="173">
        <v>20078</v>
      </c>
      <c r="B2864" s="174" t="s">
        <v>640</v>
      </c>
      <c r="C2864" s="175" t="s">
        <v>73</v>
      </c>
      <c r="D2864" s="175" t="s">
        <v>75</v>
      </c>
      <c r="E2864" s="434">
        <v>0.046</v>
      </c>
      <c r="F2864" s="435">
        <v>15.21</v>
      </c>
      <c r="G2864" s="436">
        <f>E2864*F2864</f>
        <v>0.6996600000000001</v>
      </c>
    </row>
    <row r="2865" spans="1:7" ht="25.5">
      <c r="A2865" s="173">
        <v>20183</v>
      </c>
      <c r="B2865" s="174" t="s">
        <v>1250</v>
      </c>
      <c r="C2865" s="175" t="s">
        <v>73</v>
      </c>
      <c r="D2865" s="175" t="s">
        <v>75</v>
      </c>
      <c r="E2865" s="434">
        <v>1</v>
      </c>
      <c r="F2865" s="435">
        <v>41.6</v>
      </c>
      <c r="G2865" s="436">
        <f>E2865*F2865</f>
        <v>41.6</v>
      </c>
    </row>
    <row r="2866" spans="1:7" ht="25.5" customHeight="1">
      <c r="A2866" s="173">
        <v>301</v>
      </c>
      <c r="B2866" s="174" t="s">
        <v>658</v>
      </c>
      <c r="C2866" s="175" t="s">
        <v>73</v>
      </c>
      <c r="D2866" s="175" t="s">
        <v>75</v>
      </c>
      <c r="E2866" s="434">
        <v>1</v>
      </c>
      <c r="F2866" s="435">
        <v>1.75</v>
      </c>
      <c r="G2866" s="436">
        <f>E2866*F2866</f>
        <v>1.75</v>
      </c>
    </row>
    <row r="2867" spans="1:7" ht="38.25">
      <c r="A2867" s="173" t="s">
        <v>1239</v>
      </c>
      <c r="B2867" s="174" t="s">
        <v>493</v>
      </c>
      <c r="C2867" s="175" t="s">
        <v>1245</v>
      </c>
      <c r="D2867" s="175" t="s">
        <v>77</v>
      </c>
      <c r="E2867" s="434">
        <v>0.095</v>
      </c>
      <c r="F2867" s="435">
        <v>12.86</v>
      </c>
      <c r="G2867" s="436">
        <f>E2867*F2867</f>
        <v>1.2217</v>
      </c>
    </row>
    <row r="2868" spans="1:7" ht="25.5">
      <c r="A2868" s="173" t="s">
        <v>1240</v>
      </c>
      <c r="B2868" s="174" t="s">
        <v>495</v>
      </c>
      <c r="C2868" s="175" t="s">
        <v>1245</v>
      </c>
      <c r="D2868" s="175" t="s">
        <v>77</v>
      </c>
      <c r="E2868" s="434">
        <v>0.095</v>
      </c>
      <c r="F2868" s="435">
        <v>15.12</v>
      </c>
      <c r="G2868" s="436">
        <f>E2868*F2868</f>
        <v>1.4364</v>
      </c>
    </row>
    <row r="2869" spans="1:7" ht="12.75">
      <c r="A2869" s="783" t="s">
        <v>439</v>
      </c>
      <c r="B2869" s="784"/>
      <c r="C2869" s="784"/>
      <c r="D2869" s="784"/>
      <c r="E2869" s="784"/>
      <c r="F2869" s="784"/>
      <c r="G2869" s="440">
        <f>ROUNDDOWN(SUM(G2867:G2868),2)</f>
        <v>2.65</v>
      </c>
    </row>
    <row r="2870" spans="1:7" ht="12.75">
      <c r="A2870" s="783" t="s">
        <v>440</v>
      </c>
      <c r="B2870" s="784"/>
      <c r="C2870" s="784"/>
      <c r="D2870" s="784"/>
      <c r="E2870" s="784"/>
      <c r="F2870" s="784"/>
      <c r="G2870" s="440">
        <f>ROUNDDOWN(SUM(G2864:G2866),2)</f>
        <v>44.04</v>
      </c>
    </row>
    <row r="2871" spans="1:7" ht="12.75">
      <c r="A2871" s="783" t="s">
        <v>441</v>
      </c>
      <c r="B2871" s="784"/>
      <c r="C2871" s="784"/>
      <c r="D2871" s="784"/>
      <c r="E2871" s="784"/>
      <c r="F2871" s="784"/>
      <c r="G2871" s="440">
        <f>SUM(G2869:G2870)</f>
        <v>46.69</v>
      </c>
    </row>
    <row r="2872" spans="1:7" ht="12.75">
      <c r="A2872" s="783" t="s">
        <v>442</v>
      </c>
      <c r="B2872" s="784"/>
      <c r="C2872" s="784"/>
      <c r="D2872" s="784"/>
      <c r="E2872" s="784"/>
      <c r="F2872" s="784"/>
      <c r="G2872" s="440">
        <f>G2869*85.16%</f>
        <v>2.2567399999999997</v>
      </c>
    </row>
    <row r="2873" spans="1:7" ht="12.75">
      <c r="A2873" s="783" t="s">
        <v>443</v>
      </c>
      <c r="B2873" s="784"/>
      <c r="C2873" s="784"/>
      <c r="D2873" s="784"/>
      <c r="E2873" s="784"/>
      <c r="F2873" s="784"/>
      <c r="G2873" s="440">
        <f>G2872</f>
        <v>2.2567399999999997</v>
      </c>
    </row>
    <row r="2874" spans="1:7" ht="12.75">
      <c r="A2874" s="785" t="s">
        <v>444</v>
      </c>
      <c r="B2874" s="786"/>
      <c r="C2874" s="786"/>
      <c r="D2874" s="786"/>
      <c r="E2874" s="786"/>
      <c r="F2874" s="787"/>
      <c r="G2874" s="440">
        <f>G2870</f>
        <v>44.04</v>
      </c>
    </row>
    <row r="2875" spans="1:7" ht="12.75">
      <c r="A2875" s="785" t="s">
        <v>445</v>
      </c>
      <c r="B2875" s="786"/>
      <c r="C2875" s="786"/>
      <c r="D2875" s="786"/>
      <c r="E2875" s="786"/>
      <c r="F2875" s="787"/>
      <c r="G2875" s="440">
        <f>G2869+G2873</f>
        <v>4.906739999999999</v>
      </c>
    </row>
    <row r="2876" spans="1:7" ht="12.75">
      <c r="A2876" s="785" t="s">
        <v>446</v>
      </c>
      <c r="B2876" s="786"/>
      <c r="C2876" s="786"/>
      <c r="D2876" s="786"/>
      <c r="E2876" s="786"/>
      <c r="F2876" s="787"/>
      <c r="G2876" s="440">
        <f>SUM(G2874:G2875)</f>
        <v>48.94674</v>
      </c>
    </row>
    <row r="2877" spans="1:7" ht="12.75">
      <c r="A2877" s="297"/>
      <c r="B2877" s="542"/>
      <c r="C2877" s="298"/>
      <c r="D2877" s="298"/>
      <c r="E2877" s="457"/>
      <c r="F2877" s="457"/>
      <c r="G2877" s="458"/>
    </row>
    <row r="2878" spans="1:7" ht="12.75">
      <c r="A2878" s="597" t="s">
        <v>1525</v>
      </c>
      <c r="B2878" s="597" t="s">
        <v>1526</v>
      </c>
      <c r="C2878" s="592"/>
      <c r="D2878" s="592"/>
      <c r="E2878" s="457"/>
      <c r="F2878" s="457"/>
      <c r="G2878" s="458"/>
    </row>
    <row r="2879" spans="1:7" ht="25.5">
      <c r="A2879" s="597" t="s">
        <v>1519</v>
      </c>
      <c r="B2879" s="597" t="s">
        <v>1520</v>
      </c>
      <c r="C2879" s="592"/>
      <c r="D2879" s="592"/>
      <c r="E2879" s="457"/>
      <c r="F2879" s="457"/>
      <c r="G2879" s="458"/>
    </row>
    <row r="2880" spans="1:7" ht="12.75">
      <c r="A2880" s="597" t="s">
        <v>1527</v>
      </c>
      <c r="B2880" s="597" t="s">
        <v>1528</v>
      </c>
      <c r="C2880" s="592"/>
      <c r="D2880" s="592"/>
      <c r="E2880" s="457"/>
      <c r="F2880" s="457"/>
      <c r="G2880" s="458"/>
    </row>
    <row r="2881" spans="1:7" ht="12.75">
      <c r="A2881" s="597" t="s">
        <v>1703</v>
      </c>
      <c r="B2881" s="597"/>
      <c r="C2881" s="592"/>
      <c r="D2881" s="592"/>
      <c r="E2881" s="457"/>
      <c r="F2881" s="457"/>
      <c r="G2881" s="458"/>
    </row>
    <row r="2882" spans="1:7" ht="25.5">
      <c r="A2882" s="171" t="s">
        <v>1405</v>
      </c>
      <c r="B2882" s="545" t="s">
        <v>1389</v>
      </c>
      <c r="C2882" s="172"/>
      <c r="D2882" s="172"/>
      <c r="E2882" s="373"/>
      <c r="F2882" s="374"/>
      <c r="G2882" s="375"/>
    </row>
    <row r="2883" spans="1:7" ht="12.75">
      <c r="A2883" s="173" t="s">
        <v>1239</v>
      </c>
      <c r="B2883" s="174" t="s">
        <v>1398</v>
      </c>
      <c r="C2883" s="175" t="s">
        <v>1403</v>
      </c>
      <c r="D2883" s="175" t="s">
        <v>77</v>
      </c>
      <c r="E2883" s="434">
        <v>0.185</v>
      </c>
      <c r="F2883" s="435">
        <v>12.86</v>
      </c>
      <c r="G2883" s="436">
        <f>E2883*F2883</f>
        <v>2.3790999999999998</v>
      </c>
    </row>
    <row r="2884" spans="1:7" ht="12.75">
      <c r="A2884" s="173" t="s">
        <v>1240</v>
      </c>
      <c r="B2884" s="174" t="s">
        <v>1399</v>
      </c>
      <c r="C2884" s="175" t="s">
        <v>1403</v>
      </c>
      <c r="D2884" s="175" t="s">
        <v>77</v>
      </c>
      <c r="E2884" s="434">
        <v>0.185</v>
      </c>
      <c r="F2884" s="435">
        <v>15.12</v>
      </c>
      <c r="G2884" s="436">
        <f>E2884*F2884</f>
        <v>2.7971999999999997</v>
      </c>
    </row>
    <row r="2885" spans="1:7" ht="12.75">
      <c r="A2885" s="173">
        <v>20083</v>
      </c>
      <c r="B2885" s="174" t="s">
        <v>1400</v>
      </c>
      <c r="C2885" s="175" t="s">
        <v>1230</v>
      </c>
      <c r="D2885" s="175" t="s">
        <v>85</v>
      </c>
      <c r="E2885" s="434">
        <v>0.056</v>
      </c>
      <c r="F2885" s="435">
        <v>36.08</v>
      </c>
      <c r="G2885" s="436">
        <f>E2885*F2885</f>
        <v>2.02048</v>
      </c>
    </row>
    <row r="2886" spans="1:7" ht="25.5">
      <c r="A2886" s="173">
        <v>830</v>
      </c>
      <c r="B2886" s="174" t="s">
        <v>1401</v>
      </c>
      <c r="C2886" s="175" t="s">
        <v>1230</v>
      </c>
      <c r="D2886" s="175" t="s">
        <v>75</v>
      </c>
      <c r="E2886" s="434">
        <v>1.015</v>
      </c>
      <c r="F2886" s="435">
        <v>10.52</v>
      </c>
      <c r="G2886" s="436">
        <f>E2886*F2886</f>
        <v>10.677799999999998</v>
      </c>
    </row>
    <row r="2887" spans="1:7" ht="12.75">
      <c r="A2887" s="173">
        <v>122</v>
      </c>
      <c r="B2887" s="174" t="s">
        <v>1402</v>
      </c>
      <c r="C2887" s="175" t="s">
        <v>1230</v>
      </c>
      <c r="D2887" s="175" t="s">
        <v>424</v>
      </c>
      <c r="E2887" s="434">
        <v>0.0326</v>
      </c>
      <c r="F2887" s="435">
        <v>41.55</v>
      </c>
      <c r="G2887" s="436">
        <f>E2887*F2887</f>
        <v>1.3545299999999998</v>
      </c>
    </row>
    <row r="2888" spans="1:7" ht="12.75">
      <c r="A2888" s="783" t="s">
        <v>439</v>
      </c>
      <c r="B2888" s="784"/>
      <c r="C2888" s="784"/>
      <c r="D2888" s="784"/>
      <c r="E2888" s="784"/>
      <c r="F2888" s="784"/>
      <c r="G2888" s="440">
        <f>ROUNDDOWN(SUM(G2883:G2884),2)</f>
        <v>5.17</v>
      </c>
    </row>
    <row r="2889" spans="1:7" ht="12.75">
      <c r="A2889" s="783" t="s">
        <v>440</v>
      </c>
      <c r="B2889" s="784"/>
      <c r="C2889" s="784"/>
      <c r="D2889" s="784"/>
      <c r="E2889" s="784"/>
      <c r="F2889" s="784"/>
      <c r="G2889" s="440">
        <f>ROUNDDOWN(SUM(G2885:G2887),2)</f>
        <v>14.05</v>
      </c>
    </row>
    <row r="2890" spans="1:7" ht="12.75">
      <c r="A2890" s="783" t="s">
        <v>441</v>
      </c>
      <c r="B2890" s="784"/>
      <c r="C2890" s="784"/>
      <c r="D2890" s="784"/>
      <c r="E2890" s="784"/>
      <c r="F2890" s="784"/>
      <c r="G2890" s="440">
        <f>SUM(G2888:G2889)</f>
        <v>19.22</v>
      </c>
    </row>
    <row r="2891" spans="1:7" ht="12.75">
      <c r="A2891" s="783" t="s">
        <v>442</v>
      </c>
      <c r="B2891" s="784"/>
      <c r="C2891" s="784"/>
      <c r="D2891" s="784"/>
      <c r="E2891" s="784"/>
      <c r="F2891" s="784"/>
      <c r="G2891" s="440">
        <f>G2888*85.16%</f>
        <v>4.402772</v>
      </c>
    </row>
    <row r="2892" spans="1:7" ht="12.75">
      <c r="A2892" s="783" t="s">
        <v>443</v>
      </c>
      <c r="B2892" s="784"/>
      <c r="C2892" s="784"/>
      <c r="D2892" s="784"/>
      <c r="E2892" s="784"/>
      <c r="F2892" s="784"/>
      <c r="G2892" s="440">
        <f>G2891</f>
        <v>4.402772</v>
      </c>
    </row>
    <row r="2893" spans="1:7" ht="12.75">
      <c r="A2893" s="785" t="s">
        <v>444</v>
      </c>
      <c r="B2893" s="786"/>
      <c r="C2893" s="786"/>
      <c r="D2893" s="786"/>
      <c r="E2893" s="786"/>
      <c r="F2893" s="787"/>
      <c r="G2893" s="440">
        <f>G2889</f>
        <v>14.05</v>
      </c>
    </row>
    <row r="2894" spans="1:7" ht="12.75">
      <c r="A2894" s="785" t="s">
        <v>445</v>
      </c>
      <c r="B2894" s="786"/>
      <c r="C2894" s="786"/>
      <c r="D2894" s="786"/>
      <c r="E2894" s="786"/>
      <c r="F2894" s="787"/>
      <c r="G2894" s="440">
        <f>G2888+G2892</f>
        <v>9.572772</v>
      </c>
    </row>
    <row r="2895" spans="1:7" ht="12.75">
      <c r="A2895" s="785" t="s">
        <v>446</v>
      </c>
      <c r="B2895" s="786"/>
      <c r="C2895" s="786"/>
      <c r="D2895" s="786"/>
      <c r="E2895" s="786"/>
      <c r="F2895" s="787"/>
      <c r="G2895" s="440">
        <f>SUM(G2893:G2894)</f>
        <v>23.622772</v>
      </c>
    </row>
    <row r="2896" spans="1:7" ht="12.75">
      <c r="A2896" s="491" t="s">
        <v>83</v>
      </c>
      <c r="B2896" s="799" t="s">
        <v>1404</v>
      </c>
      <c r="C2896" s="799"/>
      <c r="D2896" s="799"/>
      <c r="E2896" s="799"/>
      <c r="F2896" s="799"/>
      <c r="G2896" s="800"/>
    </row>
    <row r="2897" spans="1:7" ht="12.75">
      <c r="A2897" s="542"/>
      <c r="C2897" s="543"/>
      <c r="D2897" s="543"/>
      <c r="E2897" s="457"/>
      <c r="F2897" s="457"/>
      <c r="G2897" s="458"/>
    </row>
    <row r="2898" spans="1:7" ht="12.75">
      <c r="A2898" s="597" t="s">
        <v>1704</v>
      </c>
      <c r="C2898" s="592"/>
      <c r="D2898" s="592"/>
      <c r="E2898" s="457"/>
      <c r="F2898" s="457"/>
      <c r="G2898" s="458"/>
    </row>
    <row r="2899" spans="1:7" ht="25.5">
      <c r="A2899" s="171" t="s">
        <v>1406</v>
      </c>
      <c r="B2899" s="545" t="s">
        <v>1390</v>
      </c>
      <c r="C2899" s="172"/>
      <c r="D2899" s="172"/>
      <c r="E2899" s="373"/>
      <c r="F2899" s="374"/>
      <c r="G2899" s="375"/>
    </row>
    <row r="2900" spans="1:7" ht="12.75">
      <c r="A2900" s="173" t="s">
        <v>1239</v>
      </c>
      <c r="B2900" s="174" t="s">
        <v>1398</v>
      </c>
      <c r="C2900" s="175" t="s">
        <v>1403</v>
      </c>
      <c r="D2900" s="175" t="s">
        <v>77</v>
      </c>
      <c r="E2900" s="434">
        <v>0.14</v>
      </c>
      <c r="F2900" s="435">
        <v>12.86</v>
      </c>
      <c r="G2900" s="436">
        <f>E2900*F2900</f>
        <v>1.8004</v>
      </c>
    </row>
    <row r="2901" spans="1:7" ht="12.75">
      <c r="A2901" s="173" t="s">
        <v>1240</v>
      </c>
      <c r="B2901" s="174" t="s">
        <v>1399</v>
      </c>
      <c r="C2901" s="175" t="s">
        <v>1403</v>
      </c>
      <c r="D2901" s="175" t="s">
        <v>77</v>
      </c>
      <c r="E2901" s="434">
        <v>0.14</v>
      </c>
      <c r="F2901" s="435">
        <v>15.12</v>
      </c>
      <c r="G2901" s="436">
        <f>E2901*F2901</f>
        <v>2.1168</v>
      </c>
    </row>
    <row r="2902" spans="1:7" ht="12.75">
      <c r="A2902" s="173">
        <v>20083</v>
      </c>
      <c r="B2902" s="174" t="s">
        <v>1400</v>
      </c>
      <c r="C2902" s="175" t="s">
        <v>1230</v>
      </c>
      <c r="D2902" s="175" t="s">
        <v>85</v>
      </c>
      <c r="E2902" s="434">
        <v>0.022</v>
      </c>
      <c r="F2902" s="435">
        <v>36.08</v>
      </c>
      <c r="G2902" s="436">
        <f>E2902*F2902</f>
        <v>0.7937599999999999</v>
      </c>
    </row>
    <row r="2903" spans="1:7" ht="25.5">
      <c r="A2903" s="173">
        <v>814</v>
      </c>
      <c r="B2903" s="174" t="s">
        <v>1412</v>
      </c>
      <c r="C2903" s="175" t="s">
        <v>1230</v>
      </c>
      <c r="D2903" s="175" t="s">
        <v>75</v>
      </c>
      <c r="E2903" s="434">
        <v>1.015</v>
      </c>
      <c r="F2903" s="435">
        <v>8.33</v>
      </c>
      <c r="G2903" s="436">
        <f>E2903*F2903</f>
        <v>8.454949999999998</v>
      </c>
    </row>
    <row r="2904" spans="1:7" ht="12.75">
      <c r="A2904" s="173">
        <v>122</v>
      </c>
      <c r="B2904" s="174" t="s">
        <v>1402</v>
      </c>
      <c r="C2904" s="175" t="s">
        <v>1230</v>
      </c>
      <c r="D2904" s="175" t="s">
        <v>424</v>
      </c>
      <c r="E2904" s="434">
        <v>0.0119</v>
      </c>
      <c r="F2904" s="435">
        <v>41.55</v>
      </c>
      <c r="G2904" s="436">
        <f>E2904*F2904</f>
        <v>0.494445</v>
      </c>
    </row>
    <row r="2905" spans="1:7" ht="12.75">
      <c r="A2905" s="783" t="s">
        <v>439</v>
      </c>
      <c r="B2905" s="784"/>
      <c r="C2905" s="784"/>
      <c r="D2905" s="784"/>
      <c r="E2905" s="784"/>
      <c r="F2905" s="784"/>
      <c r="G2905" s="440">
        <f>ROUNDDOWN(SUM(G2903:G2904),2)</f>
        <v>8.94</v>
      </c>
    </row>
    <row r="2906" spans="1:7" ht="12.75">
      <c r="A2906" s="783" t="s">
        <v>440</v>
      </c>
      <c r="B2906" s="784"/>
      <c r="C2906" s="784"/>
      <c r="D2906" s="784"/>
      <c r="E2906" s="784"/>
      <c r="F2906" s="784"/>
      <c r="G2906" s="440">
        <f>ROUNDDOWN(SUM(G2900:G2902),2)</f>
        <v>4.71</v>
      </c>
    </row>
    <row r="2907" spans="1:7" ht="12.75">
      <c r="A2907" s="783" t="s">
        <v>441</v>
      </c>
      <c r="B2907" s="784"/>
      <c r="C2907" s="784"/>
      <c r="D2907" s="784"/>
      <c r="E2907" s="784"/>
      <c r="F2907" s="784"/>
      <c r="G2907" s="440">
        <f>SUM(G2905:G2906)</f>
        <v>13.649999999999999</v>
      </c>
    </row>
    <row r="2908" spans="1:7" ht="12.75">
      <c r="A2908" s="783" t="s">
        <v>442</v>
      </c>
      <c r="B2908" s="784"/>
      <c r="C2908" s="784"/>
      <c r="D2908" s="784"/>
      <c r="E2908" s="784"/>
      <c r="F2908" s="784"/>
      <c r="G2908" s="440">
        <f>G2905*85.16%</f>
        <v>7.6133039999999985</v>
      </c>
    </row>
    <row r="2909" spans="1:7" ht="12.75">
      <c r="A2909" s="783" t="s">
        <v>443</v>
      </c>
      <c r="B2909" s="784"/>
      <c r="C2909" s="784"/>
      <c r="D2909" s="784"/>
      <c r="E2909" s="784"/>
      <c r="F2909" s="784"/>
      <c r="G2909" s="440">
        <f>G2908</f>
        <v>7.6133039999999985</v>
      </c>
    </row>
    <row r="2910" spans="1:7" ht="12.75">
      <c r="A2910" s="785" t="s">
        <v>444</v>
      </c>
      <c r="B2910" s="786"/>
      <c r="C2910" s="786"/>
      <c r="D2910" s="786"/>
      <c r="E2910" s="786"/>
      <c r="F2910" s="787"/>
      <c r="G2910" s="440">
        <f>G2906</f>
        <v>4.71</v>
      </c>
    </row>
    <row r="2911" spans="1:7" ht="12.75">
      <c r="A2911" s="785" t="s">
        <v>445</v>
      </c>
      <c r="B2911" s="786"/>
      <c r="C2911" s="786"/>
      <c r="D2911" s="786"/>
      <c r="E2911" s="786"/>
      <c r="F2911" s="787"/>
      <c r="G2911" s="440">
        <f>G2905+G2909</f>
        <v>16.553303999999997</v>
      </c>
    </row>
    <row r="2912" spans="1:7" ht="12.75">
      <c r="A2912" s="785" t="s">
        <v>446</v>
      </c>
      <c r="B2912" s="786"/>
      <c r="C2912" s="786"/>
      <c r="D2912" s="786"/>
      <c r="E2912" s="786"/>
      <c r="F2912" s="787"/>
      <c r="G2912" s="440">
        <f>SUM(G2910:G2911)</f>
        <v>21.263303999999998</v>
      </c>
    </row>
    <row r="2913" spans="1:7" ht="12.75">
      <c r="A2913" s="491" t="s">
        <v>83</v>
      </c>
      <c r="B2913" s="799" t="s">
        <v>1411</v>
      </c>
      <c r="C2913" s="799"/>
      <c r="D2913" s="799"/>
      <c r="E2913" s="799"/>
      <c r="F2913" s="799"/>
      <c r="G2913" s="800"/>
    </row>
    <row r="2914" spans="1:7" ht="12.75">
      <c r="A2914" s="539"/>
      <c r="B2914" s="560"/>
      <c r="C2914" s="540"/>
      <c r="D2914" s="540"/>
      <c r="E2914" s="540"/>
      <c r="F2914" s="541"/>
      <c r="G2914" s="440"/>
    </row>
    <row r="2915" spans="1:7" ht="12.75">
      <c r="A2915" s="597" t="s">
        <v>1525</v>
      </c>
      <c r="B2915" s="597" t="s">
        <v>1526</v>
      </c>
      <c r="C2915" s="587"/>
      <c r="D2915" s="587"/>
      <c r="E2915" s="587"/>
      <c r="F2915" s="588"/>
      <c r="G2915" s="440"/>
    </row>
    <row r="2916" spans="1:7" ht="25.5">
      <c r="A2916" s="716" t="s">
        <v>1519</v>
      </c>
      <c r="B2916" s="716" t="s">
        <v>1520</v>
      </c>
      <c r="C2916" s="587"/>
      <c r="D2916" s="587"/>
      <c r="E2916" s="587"/>
      <c r="F2916" s="588"/>
      <c r="G2916" s="440"/>
    </row>
    <row r="2917" spans="1:7" ht="12.75">
      <c r="A2917" s="716" t="s">
        <v>1533</v>
      </c>
      <c r="B2917" s="597" t="s">
        <v>1534</v>
      </c>
      <c r="C2917" s="587"/>
      <c r="D2917" s="587"/>
      <c r="E2917" s="587"/>
      <c r="F2917" s="588"/>
      <c r="G2917" s="440"/>
    </row>
    <row r="2918" spans="1:7" ht="12.75">
      <c r="A2918" s="716" t="s">
        <v>1825</v>
      </c>
      <c r="B2918" s="597"/>
      <c r="C2918" s="587"/>
      <c r="D2918" s="587"/>
      <c r="E2918" s="587"/>
      <c r="F2918" s="588"/>
      <c r="G2918" s="440"/>
    </row>
    <row r="2919" spans="1:7" ht="25.5">
      <c r="A2919" s="171" t="s">
        <v>1407</v>
      </c>
      <c r="B2919" s="545" t="s">
        <v>1391</v>
      </c>
      <c r="C2919" s="172"/>
      <c r="D2919" s="172"/>
      <c r="E2919" s="373"/>
      <c r="F2919" s="374"/>
      <c r="G2919" s="375"/>
    </row>
    <row r="2920" spans="1:7" ht="12.75">
      <c r="A2920" s="173" t="s">
        <v>1239</v>
      </c>
      <c r="B2920" s="174" t="s">
        <v>1398</v>
      </c>
      <c r="C2920" s="175" t="s">
        <v>1403</v>
      </c>
      <c r="D2920" s="175" t="s">
        <v>77</v>
      </c>
      <c r="E2920" s="434">
        <v>0.55</v>
      </c>
      <c r="F2920" s="435">
        <v>12.86</v>
      </c>
      <c r="G2920" s="436">
        <f>E2920*F2920</f>
        <v>7.073</v>
      </c>
    </row>
    <row r="2921" spans="1:7" ht="12.75">
      <c r="A2921" s="173" t="s">
        <v>1240</v>
      </c>
      <c r="B2921" s="174" t="s">
        <v>1399</v>
      </c>
      <c r="C2921" s="175" t="s">
        <v>1403</v>
      </c>
      <c r="D2921" s="175" t="s">
        <v>77</v>
      </c>
      <c r="E2921" s="434">
        <v>0.55</v>
      </c>
      <c r="F2921" s="435">
        <v>15.12</v>
      </c>
      <c r="G2921" s="436">
        <f>E2921*F2921</f>
        <v>8.316</v>
      </c>
    </row>
    <row r="2922" spans="1:7" ht="12.75">
      <c r="A2922" s="173">
        <v>20083</v>
      </c>
      <c r="B2922" s="174" t="s">
        <v>1400</v>
      </c>
      <c r="C2922" s="175" t="s">
        <v>1230</v>
      </c>
      <c r="D2922" s="175" t="s">
        <v>85</v>
      </c>
      <c r="E2922" s="434">
        <v>0.0107</v>
      </c>
      <c r="F2922" s="435">
        <v>36.08</v>
      </c>
      <c r="G2922" s="436">
        <f>E2922*F2922</f>
        <v>0.38605599999999995</v>
      </c>
    </row>
    <row r="2923" spans="1:7" ht="38.25">
      <c r="A2923" s="173">
        <v>11379</v>
      </c>
      <c r="B2923" s="174" t="s">
        <v>1413</v>
      </c>
      <c r="C2923" s="175" t="s">
        <v>1230</v>
      </c>
      <c r="D2923" s="175" t="s">
        <v>75</v>
      </c>
      <c r="E2923" s="434">
        <v>1.015</v>
      </c>
      <c r="F2923" s="435">
        <v>76.19</v>
      </c>
      <c r="G2923" s="436">
        <f>E2923*F2923</f>
        <v>77.33285</v>
      </c>
    </row>
    <row r="2924" spans="1:7" ht="12.75">
      <c r="A2924" s="173">
        <v>122</v>
      </c>
      <c r="B2924" s="174" t="s">
        <v>1402</v>
      </c>
      <c r="C2924" s="175" t="s">
        <v>1230</v>
      </c>
      <c r="D2924" s="175" t="s">
        <v>424</v>
      </c>
      <c r="E2924" s="434">
        <v>0.0616</v>
      </c>
      <c r="F2924" s="435">
        <v>41.55</v>
      </c>
      <c r="G2924" s="436">
        <f>E2924*F2924</f>
        <v>2.5594799999999998</v>
      </c>
    </row>
    <row r="2925" spans="1:7" ht="12.75">
      <c r="A2925" s="783" t="s">
        <v>439</v>
      </c>
      <c r="B2925" s="784"/>
      <c r="C2925" s="784"/>
      <c r="D2925" s="784"/>
      <c r="E2925" s="784"/>
      <c r="F2925" s="784"/>
      <c r="G2925" s="440">
        <f>ROUNDDOWN(SUM(G2920:G2921),2)</f>
        <v>15.38</v>
      </c>
    </row>
    <row r="2926" spans="1:7" ht="12.75">
      <c r="A2926" s="783" t="s">
        <v>440</v>
      </c>
      <c r="B2926" s="784"/>
      <c r="C2926" s="784"/>
      <c r="D2926" s="784"/>
      <c r="E2926" s="784"/>
      <c r="F2926" s="784"/>
      <c r="G2926" s="440">
        <f>ROUNDDOWN(SUM(G2922:G2924),2)</f>
        <v>80.27</v>
      </c>
    </row>
    <row r="2927" spans="1:7" ht="12.75">
      <c r="A2927" s="783" t="s">
        <v>441</v>
      </c>
      <c r="B2927" s="784"/>
      <c r="C2927" s="784"/>
      <c r="D2927" s="784"/>
      <c r="E2927" s="784"/>
      <c r="F2927" s="784"/>
      <c r="G2927" s="440">
        <f>SUM(G2925:G2926)</f>
        <v>95.64999999999999</v>
      </c>
    </row>
    <row r="2928" spans="1:7" ht="12.75">
      <c r="A2928" s="783" t="s">
        <v>442</v>
      </c>
      <c r="B2928" s="784"/>
      <c r="C2928" s="784"/>
      <c r="D2928" s="784"/>
      <c r="E2928" s="784"/>
      <c r="F2928" s="784"/>
      <c r="G2928" s="440">
        <f>G2925*85.16%</f>
        <v>13.097608</v>
      </c>
    </row>
    <row r="2929" spans="1:7" ht="12.75">
      <c r="A2929" s="783" t="s">
        <v>443</v>
      </c>
      <c r="B2929" s="784"/>
      <c r="C2929" s="784"/>
      <c r="D2929" s="784"/>
      <c r="E2929" s="784"/>
      <c r="F2929" s="784"/>
      <c r="G2929" s="440">
        <f>G2928</f>
        <v>13.097608</v>
      </c>
    </row>
    <row r="2930" spans="1:7" ht="12.75">
      <c r="A2930" s="785" t="s">
        <v>444</v>
      </c>
      <c r="B2930" s="786"/>
      <c r="C2930" s="786"/>
      <c r="D2930" s="786"/>
      <c r="E2930" s="786"/>
      <c r="F2930" s="787"/>
      <c r="G2930" s="440">
        <f>G2926</f>
        <v>80.27</v>
      </c>
    </row>
    <row r="2931" spans="1:7" ht="12.75">
      <c r="A2931" s="785" t="s">
        <v>445</v>
      </c>
      <c r="B2931" s="786"/>
      <c r="C2931" s="786"/>
      <c r="D2931" s="786"/>
      <c r="E2931" s="786"/>
      <c r="F2931" s="787"/>
      <c r="G2931" s="440">
        <f>G2925+G2929</f>
        <v>28.477608</v>
      </c>
    </row>
    <row r="2932" spans="1:7" ht="12.75">
      <c r="A2932" s="785" t="s">
        <v>446</v>
      </c>
      <c r="B2932" s="786"/>
      <c r="C2932" s="786"/>
      <c r="D2932" s="786"/>
      <c r="E2932" s="786"/>
      <c r="F2932" s="787"/>
      <c r="G2932" s="440">
        <f>SUM(G2930:G2931)</f>
        <v>108.747608</v>
      </c>
    </row>
    <row r="2933" spans="1:7" ht="12.75">
      <c r="A2933" s="491" t="s">
        <v>83</v>
      </c>
      <c r="B2933" s="799" t="s">
        <v>1417</v>
      </c>
      <c r="C2933" s="799"/>
      <c r="D2933" s="799"/>
      <c r="E2933" s="799"/>
      <c r="F2933" s="799"/>
      <c r="G2933" s="800"/>
    </row>
    <row r="2934" spans="1:7" ht="12.75">
      <c r="A2934" s="542"/>
      <c r="C2934" s="543"/>
      <c r="D2934" s="543"/>
      <c r="E2934" s="457"/>
      <c r="F2934" s="457"/>
      <c r="G2934" s="458"/>
    </row>
    <row r="2935" spans="1:7" ht="12.75">
      <c r="A2935" s="597" t="s">
        <v>1826</v>
      </c>
      <c r="C2935" s="592"/>
      <c r="D2935" s="592"/>
      <c r="E2935" s="457"/>
      <c r="F2935" s="457"/>
      <c r="G2935" s="458"/>
    </row>
    <row r="2936" spans="1:7" ht="25.5">
      <c r="A2936" s="171" t="s">
        <v>1408</v>
      </c>
      <c r="B2936" s="545" t="s">
        <v>1392</v>
      </c>
      <c r="C2936" s="172"/>
      <c r="D2936" s="172"/>
      <c r="E2936" s="373"/>
      <c r="F2936" s="374"/>
      <c r="G2936" s="375"/>
    </row>
    <row r="2937" spans="1:7" ht="12.75">
      <c r="A2937" s="173" t="s">
        <v>1239</v>
      </c>
      <c r="B2937" s="174" t="s">
        <v>1398</v>
      </c>
      <c r="C2937" s="175" t="s">
        <v>1403</v>
      </c>
      <c r="D2937" s="175" t="s">
        <v>77</v>
      </c>
      <c r="E2937" s="434">
        <v>0.55</v>
      </c>
      <c r="F2937" s="435">
        <v>12.86</v>
      </c>
      <c r="G2937" s="436">
        <f>E2937*F2937</f>
        <v>7.073</v>
      </c>
    </row>
    <row r="2938" spans="1:7" ht="12.75">
      <c r="A2938" s="173" t="s">
        <v>1240</v>
      </c>
      <c r="B2938" s="174" t="s">
        <v>1399</v>
      </c>
      <c r="C2938" s="175" t="s">
        <v>1403</v>
      </c>
      <c r="D2938" s="175" t="s">
        <v>77</v>
      </c>
      <c r="E2938" s="434">
        <v>0.55</v>
      </c>
      <c r="F2938" s="435">
        <v>15.12</v>
      </c>
      <c r="G2938" s="436">
        <f>E2938*F2938</f>
        <v>8.316</v>
      </c>
    </row>
    <row r="2939" spans="1:7" ht="12.75">
      <c r="A2939" s="173">
        <v>20083</v>
      </c>
      <c r="B2939" s="174" t="s">
        <v>1400</v>
      </c>
      <c r="C2939" s="175" t="s">
        <v>1230</v>
      </c>
      <c r="D2939" s="175" t="s">
        <v>85</v>
      </c>
      <c r="E2939" s="434">
        <v>0.0107</v>
      </c>
      <c r="F2939" s="435">
        <v>36.08</v>
      </c>
      <c r="G2939" s="436">
        <f>E2939*F2939</f>
        <v>0.38605599999999995</v>
      </c>
    </row>
    <row r="2940" spans="1:7" ht="38.25">
      <c r="A2940" s="173">
        <v>11378</v>
      </c>
      <c r="B2940" s="174" t="s">
        <v>1414</v>
      </c>
      <c r="C2940" s="175" t="s">
        <v>1230</v>
      </c>
      <c r="D2940" s="175" t="s">
        <v>75</v>
      </c>
      <c r="E2940" s="434">
        <v>1.015</v>
      </c>
      <c r="F2940" s="435">
        <v>69.76</v>
      </c>
      <c r="G2940" s="436">
        <f>E2940*F2940</f>
        <v>70.8064</v>
      </c>
    </row>
    <row r="2941" spans="1:7" ht="12.75">
      <c r="A2941" s="173">
        <v>122</v>
      </c>
      <c r="B2941" s="174" t="s">
        <v>1402</v>
      </c>
      <c r="C2941" s="175" t="s">
        <v>1230</v>
      </c>
      <c r="D2941" s="175" t="s">
        <v>424</v>
      </c>
      <c r="E2941" s="434">
        <v>0.0616</v>
      </c>
      <c r="F2941" s="435">
        <v>41.55</v>
      </c>
      <c r="G2941" s="436">
        <f>E2941*F2941</f>
        <v>2.5594799999999998</v>
      </c>
    </row>
    <row r="2942" spans="1:7" ht="12.75">
      <c r="A2942" s="783" t="s">
        <v>439</v>
      </c>
      <c r="B2942" s="784"/>
      <c r="C2942" s="784"/>
      <c r="D2942" s="784"/>
      <c r="E2942" s="784"/>
      <c r="F2942" s="784"/>
      <c r="G2942" s="440">
        <f>ROUNDDOWN(SUM(G2937:G2938),2)</f>
        <v>15.38</v>
      </c>
    </row>
    <row r="2943" spans="1:7" ht="12.75">
      <c r="A2943" s="783" t="s">
        <v>440</v>
      </c>
      <c r="B2943" s="784"/>
      <c r="C2943" s="784"/>
      <c r="D2943" s="784"/>
      <c r="E2943" s="784"/>
      <c r="F2943" s="784"/>
      <c r="G2943" s="440">
        <f>ROUNDDOWN(SUM(G2939:G2941),2)</f>
        <v>73.75</v>
      </c>
    </row>
    <row r="2944" spans="1:7" ht="12.75">
      <c r="A2944" s="783" t="s">
        <v>441</v>
      </c>
      <c r="B2944" s="784"/>
      <c r="C2944" s="784"/>
      <c r="D2944" s="784"/>
      <c r="E2944" s="784"/>
      <c r="F2944" s="784"/>
      <c r="G2944" s="440">
        <f>SUM(G2942:G2943)</f>
        <v>89.13</v>
      </c>
    </row>
    <row r="2945" spans="1:7" ht="12.75">
      <c r="A2945" s="783" t="s">
        <v>442</v>
      </c>
      <c r="B2945" s="784"/>
      <c r="C2945" s="784"/>
      <c r="D2945" s="784"/>
      <c r="E2945" s="784"/>
      <c r="F2945" s="784"/>
      <c r="G2945" s="440">
        <f>G2942*85.16%</f>
        <v>13.097608</v>
      </c>
    </row>
    <row r="2946" spans="1:7" ht="12.75">
      <c r="A2946" s="783" t="s">
        <v>443</v>
      </c>
      <c r="B2946" s="784"/>
      <c r="C2946" s="784"/>
      <c r="D2946" s="784"/>
      <c r="E2946" s="784"/>
      <c r="F2946" s="784"/>
      <c r="G2946" s="440">
        <f>G2945</f>
        <v>13.097608</v>
      </c>
    </row>
    <row r="2947" spans="1:7" ht="12.75">
      <c r="A2947" s="785" t="s">
        <v>444</v>
      </c>
      <c r="B2947" s="786"/>
      <c r="C2947" s="786"/>
      <c r="D2947" s="786"/>
      <c r="E2947" s="786"/>
      <c r="F2947" s="787"/>
      <c r="G2947" s="440">
        <f>G2943</f>
        <v>73.75</v>
      </c>
    </row>
    <row r="2948" spans="1:7" ht="12.75">
      <c r="A2948" s="785" t="s">
        <v>445</v>
      </c>
      <c r="B2948" s="786"/>
      <c r="C2948" s="786"/>
      <c r="D2948" s="786"/>
      <c r="E2948" s="786"/>
      <c r="F2948" s="787"/>
      <c r="G2948" s="440">
        <f>G2942+G2946</f>
        <v>28.477608</v>
      </c>
    </row>
    <row r="2949" spans="1:7" ht="12.75">
      <c r="A2949" s="785" t="s">
        <v>446</v>
      </c>
      <c r="B2949" s="786"/>
      <c r="C2949" s="786"/>
      <c r="D2949" s="786"/>
      <c r="E2949" s="786"/>
      <c r="F2949" s="787"/>
      <c r="G2949" s="440">
        <f>SUM(G2947:G2948)</f>
        <v>102.227608</v>
      </c>
    </row>
    <row r="2950" spans="1:7" ht="12.75">
      <c r="A2950" s="491" t="s">
        <v>83</v>
      </c>
      <c r="B2950" s="799" t="s">
        <v>1417</v>
      </c>
      <c r="C2950" s="799"/>
      <c r="D2950" s="799"/>
      <c r="E2950" s="799"/>
      <c r="F2950" s="799"/>
      <c r="G2950" s="800"/>
    </row>
    <row r="2951" spans="1:7" ht="12.75">
      <c r="A2951" s="542"/>
      <c r="C2951" s="543"/>
      <c r="D2951" s="543"/>
      <c r="E2951" s="457"/>
      <c r="F2951" s="457"/>
      <c r="G2951" s="458"/>
    </row>
    <row r="2952" spans="1:7" ht="12.75">
      <c r="A2952" s="591"/>
      <c r="C2952" s="592"/>
      <c r="D2952" s="592"/>
      <c r="E2952" s="457"/>
      <c r="F2952" s="457"/>
      <c r="G2952" s="458"/>
    </row>
    <row r="2953" spans="1:7" ht="12.75">
      <c r="A2953" s="591"/>
      <c r="C2953" s="592"/>
      <c r="D2953" s="592"/>
      <c r="E2953" s="457"/>
      <c r="F2953" s="457"/>
      <c r="G2953" s="458"/>
    </row>
    <row r="2954" spans="1:7" ht="12.75">
      <c r="A2954" s="716" t="s">
        <v>1531</v>
      </c>
      <c r="B2954" s="597" t="s">
        <v>1532</v>
      </c>
      <c r="C2954" s="592"/>
      <c r="D2954" s="592"/>
      <c r="E2954" s="457"/>
      <c r="F2954" s="457"/>
      <c r="G2954" s="458"/>
    </row>
    <row r="2955" spans="1:7" ht="12.75">
      <c r="A2955" s="716" t="s">
        <v>1827</v>
      </c>
      <c r="B2955" s="597"/>
      <c r="C2955" s="592"/>
      <c r="D2955" s="592"/>
      <c r="E2955" s="457"/>
      <c r="F2955" s="457"/>
      <c r="G2955" s="458"/>
    </row>
    <row r="2956" spans="1:7" ht="25.5">
      <c r="A2956" s="171" t="s">
        <v>1409</v>
      </c>
      <c r="B2956" s="545" t="s">
        <v>1393</v>
      </c>
      <c r="C2956" s="172"/>
      <c r="D2956" s="172"/>
      <c r="E2956" s="373"/>
      <c r="F2956" s="374"/>
      <c r="G2956" s="375"/>
    </row>
    <row r="2957" spans="1:7" ht="12.75">
      <c r="A2957" s="173" t="s">
        <v>1239</v>
      </c>
      <c r="B2957" s="174" t="s">
        <v>1398</v>
      </c>
      <c r="C2957" s="175" t="s">
        <v>1403</v>
      </c>
      <c r="D2957" s="175" t="s">
        <v>77</v>
      </c>
      <c r="E2957" s="434">
        <v>0.33</v>
      </c>
      <c r="F2957" s="435">
        <v>12.86</v>
      </c>
      <c r="G2957" s="436">
        <f>E2957*F2957</f>
        <v>4.2438</v>
      </c>
    </row>
    <row r="2958" spans="1:7" ht="12.75">
      <c r="A2958" s="173" t="s">
        <v>1240</v>
      </c>
      <c r="B2958" s="174" t="s">
        <v>1399</v>
      </c>
      <c r="C2958" s="175" t="s">
        <v>1403</v>
      </c>
      <c r="D2958" s="175" t="s">
        <v>77</v>
      </c>
      <c r="E2958" s="434">
        <v>0.33</v>
      </c>
      <c r="F2958" s="435">
        <v>15.12</v>
      </c>
      <c r="G2958" s="436">
        <f>E2958*F2958</f>
        <v>4.9896</v>
      </c>
    </row>
    <row r="2959" spans="1:7" ht="12.75">
      <c r="A2959" s="173">
        <v>20078</v>
      </c>
      <c r="B2959" s="174" t="s">
        <v>1418</v>
      </c>
      <c r="C2959" s="175" t="s">
        <v>1230</v>
      </c>
      <c r="D2959" s="175" t="s">
        <v>75</v>
      </c>
      <c r="E2959" s="434">
        <v>1</v>
      </c>
      <c r="F2959" s="435">
        <v>15.21</v>
      </c>
      <c r="G2959" s="436">
        <f>E2959*F2959</f>
        <v>15.21</v>
      </c>
    </row>
    <row r="2960" spans="1:7" ht="38.25">
      <c r="A2960" s="173">
        <v>3826</v>
      </c>
      <c r="B2960" s="174" t="s">
        <v>1419</v>
      </c>
      <c r="C2960" s="175" t="s">
        <v>1230</v>
      </c>
      <c r="D2960" s="175" t="s">
        <v>75</v>
      </c>
      <c r="E2960" s="434">
        <v>1</v>
      </c>
      <c r="F2960" s="435">
        <v>42.38</v>
      </c>
      <c r="G2960" s="436">
        <f>E2960*F2960</f>
        <v>42.38</v>
      </c>
    </row>
    <row r="2961" spans="1:7" ht="12.75">
      <c r="A2961" s="173">
        <v>328</v>
      </c>
      <c r="B2961" s="174" t="s">
        <v>1415</v>
      </c>
      <c r="C2961" s="175" t="s">
        <v>1230</v>
      </c>
      <c r="D2961" s="175" t="s">
        <v>424</v>
      </c>
      <c r="E2961" s="434">
        <v>2</v>
      </c>
      <c r="F2961" s="435">
        <v>4.57</v>
      </c>
      <c r="G2961" s="436">
        <f>E2961*F2961</f>
        <v>9.14</v>
      </c>
    </row>
    <row r="2962" spans="1:7" ht="12.75">
      <c r="A2962" s="783" t="s">
        <v>439</v>
      </c>
      <c r="B2962" s="784"/>
      <c r="C2962" s="784"/>
      <c r="D2962" s="784"/>
      <c r="E2962" s="784"/>
      <c r="F2962" s="784"/>
      <c r="G2962" s="440">
        <f>ROUNDDOWN(SUM(G2957:G2958),2)</f>
        <v>9.23</v>
      </c>
    </row>
    <row r="2963" spans="1:7" ht="12.75">
      <c r="A2963" s="783" t="s">
        <v>440</v>
      </c>
      <c r="B2963" s="784"/>
      <c r="C2963" s="784"/>
      <c r="D2963" s="784"/>
      <c r="E2963" s="784"/>
      <c r="F2963" s="784"/>
      <c r="G2963" s="440">
        <f>ROUNDDOWN(SUM(G2959:G2961),2)</f>
        <v>66.73</v>
      </c>
    </row>
    <row r="2964" spans="1:7" ht="12.75">
      <c r="A2964" s="783" t="s">
        <v>441</v>
      </c>
      <c r="B2964" s="784"/>
      <c r="C2964" s="784"/>
      <c r="D2964" s="784"/>
      <c r="E2964" s="784"/>
      <c r="F2964" s="784"/>
      <c r="G2964" s="440">
        <f>SUM(G2962:G2963)</f>
        <v>75.96000000000001</v>
      </c>
    </row>
    <row r="2965" spans="1:7" ht="12.75">
      <c r="A2965" s="783" t="s">
        <v>442</v>
      </c>
      <c r="B2965" s="784"/>
      <c r="C2965" s="784"/>
      <c r="D2965" s="784"/>
      <c r="E2965" s="784"/>
      <c r="F2965" s="784"/>
      <c r="G2965" s="440">
        <f>G2962*85.16%</f>
        <v>7.860268</v>
      </c>
    </row>
    <row r="2966" spans="1:7" ht="12.75">
      <c r="A2966" s="783" t="s">
        <v>443</v>
      </c>
      <c r="B2966" s="784"/>
      <c r="C2966" s="784"/>
      <c r="D2966" s="784"/>
      <c r="E2966" s="784"/>
      <c r="F2966" s="784"/>
      <c r="G2966" s="440">
        <f>G2965</f>
        <v>7.860268</v>
      </c>
    </row>
    <row r="2967" spans="1:7" ht="12.75">
      <c r="A2967" s="785" t="s">
        <v>444</v>
      </c>
      <c r="B2967" s="786"/>
      <c r="C2967" s="786"/>
      <c r="D2967" s="786"/>
      <c r="E2967" s="786"/>
      <c r="F2967" s="787"/>
      <c r="G2967" s="440">
        <f>G2963</f>
        <v>66.73</v>
      </c>
    </row>
    <row r="2968" spans="1:7" ht="12.75">
      <c r="A2968" s="785" t="s">
        <v>445</v>
      </c>
      <c r="B2968" s="786"/>
      <c r="C2968" s="786"/>
      <c r="D2968" s="786"/>
      <c r="E2968" s="786"/>
      <c r="F2968" s="787"/>
      <c r="G2968" s="440">
        <f>G2962+G2966</f>
        <v>17.090268000000002</v>
      </c>
    </row>
    <row r="2969" spans="1:7" ht="12.75">
      <c r="A2969" s="785" t="s">
        <v>446</v>
      </c>
      <c r="B2969" s="786"/>
      <c r="C2969" s="786"/>
      <c r="D2969" s="786"/>
      <c r="E2969" s="786"/>
      <c r="F2969" s="787"/>
      <c r="G2969" s="440">
        <f>SUM(G2967:G2968)</f>
        <v>83.820268</v>
      </c>
    </row>
    <row r="2970" spans="1:7" ht="12.75">
      <c r="A2970" s="491" t="s">
        <v>83</v>
      </c>
      <c r="B2970" s="799" t="s">
        <v>1416</v>
      </c>
      <c r="C2970" s="799"/>
      <c r="D2970" s="799"/>
      <c r="E2970" s="799"/>
      <c r="F2970" s="799"/>
      <c r="G2970" s="800"/>
    </row>
    <row r="2971" spans="1:7" ht="12.75">
      <c r="A2971" s="542"/>
      <c r="C2971" s="543"/>
      <c r="D2971" s="543"/>
      <c r="E2971" s="457"/>
      <c r="F2971" s="457"/>
      <c r="G2971" s="458"/>
    </row>
    <row r="2972" spans="1:7" ht="12.75">
      <c r="A2972" s="591"/>
      <c r="C2972" s="592"/>
      <c r="D2972" s="592"/>
      <c r="E2972" s="457"/>
      <c r="F2972" s="457"/>
      <c r="G2972" s="458"/>
    </row>
    <row r="2973" spans="1:7" ht="12.75">
      <c r="A2973" s="591"/>
      <c r="C2973" s="592"/>
      <c r="D2973" s="592"/>
      <c r="E2973" s="457"/>
      <c r="F2973" s="457"/>
      <c r="G2973" s="458"/>
    </row>
    <row r="2974" spans="1:7" ht="12.75">
      <c r="A2974" s="597" t="s">
        <v>1527</v>
      </c>
      <c r="B2974" s="597" t="s">
        <v>1528</v>
      </c>
      <c r="C2974" s="592"/>
      <c r="D2974" s="592"/>
      <c r="E2974" s="457"/>
      <c r="F2974" s="457"/>
      <c r="G2974" s="458"/>
    </row>
    <row r="2975" spans="1:7" ht="12.75">
      <c r="A2975" s="597" t="s">
        <v>1705</v>
      </c>
      <c r="B2975" s="597"/>
      <c r="C2975" s="592"/>
      <c r="D2975" s="592"/>
      <c r="E2975" s="457"/>
      <c r="F2975" s="457"/>
      <c r="G2975" s="458"/>
    </row>
    <row r="2976" spans="1:7" ht="25.5">
      <c r="A2976" s="171" t="s">
        <v>1410</v>
      </c>
      <c r="B2976" s="545" t="s">
        <v>1394</v>
      </c>
      <c r="C2976" s="172"/>
      <c r="D2976" s="172"/>
      <c r="E2976" s="373"/>
      <c r="F2976" s="374"/>
      <c r="G2976" s="375"/>
    </row>
    <row r="2977" spans="1:7" ht="12.75">
      <c r="A2977" s="173" t="s">
        <v>1239</v>
      </c>
      <c r="B2977" s="174" t="s">
        <v>1398</v>
      </c>
      <c r="C2977" s="175" t="s">
        <v>1403</v>
      </c>
      <c r="D2977" s="175" t="s">
        <v>77</v>
      </c>
      <c r="E2977" s="434">
        <v>0.14</v>
      </c>
      <c r="F2977" s="435">
        <v>12.86</v>
      </c>
      <c r="G2977" s="436">
        <f>E2977*F2977</f>
        <v>1.8004</v>
      </c>
    </row>
    <row r="2978" spans="1:7" ht="12.75">
      <c r="A2978" s="173" t="s">
        <v>1240</v>
      </c>
      <c r="B2978" s="174" t="s">
        <v>1399</v>
      </c>
      <c r="C2978" s="175" t="s">
        <v>1403</v>
      </c>
      <c r="D2978" s="175" t="s">
        <v>77</v>
      </c>
      <c r="E2978" s="434">
        <v>0.14</v>
      </c>
      <c r="F2978" s="435">
        <v>15.12</v>
      </c>
      <c r="G2978" s="436">
        <f>E2978*F2978</f>
        <v>2.1168</v>
      </c>
    </row>
    <row r="2979" spans="1:7" ht="12.75">
      <c r="A2979" s="173">
        <v>20083</v>
      </c>
      <c r="B2979" s="174" t="s">
        <v>1400</v>
      </c>
      <c r="C2979" s="175" t="s">
        <v>1230</v>
      </c>
      <c r="D2979" s="175" t="s">
        <v>85</v>
      </c>
      <c r="E2979" s="434">
        <v>0.022</v>
      </c>
      <c r="F2979" s="435">
        <v>36.08</v>
      </c>
      <c r="G2979" s="436">
        <f>E2979*F2979</f>
        <v>0.7937599999999999</v>
      </c>
    </row>
    <row r="2980" spans="1:7" ht="38.25">
      <c r="A2980" s="173"/>
      <c r="B2980" s="174"/>
      <c r="C2980" s="175" t="s">
        <v>1230</v>
      </c>
      <c r="D2980" s="175" t="s">
        <v>75</v>
      </c>
      <c r="E2980" s="434">
        <v>1.015</v>
      </c>
      <c r="F2980" s="435" t="s">
        <v>83</v>
      </c>
      <c r="G2980" s="436" t="s">
        <v>1416</v>
      </c>
    </row>
    <row r="2981" spans="1:7" ht="12.75">
      <c r="A2981" s="173">
        <v>122</v>
      </c>
      <c r="B2981" s="174" t="s">
        <v>1402</v>
      </c>
      <c r="C2981" s="175" t="s">
        <v>1230</v>
      </c>
      <c r="D2981" s="175" t="s">
        <v>424</v>
      </c>
      <c r="E2981" s="434">
        <v>0.0119</v>
      </c>
      <c r="F2981" s="435">
        <v>41.55</v>
      </c>
      <c r="G2981" s="436">
        <f>E2981*F2981</f>
        <v>0.494445</v>
      </c>
    </row>
    <row r="2982" spans="1:7" ht="12.75">
      <c r="A2982" s="783" t="s">
        <v>439</v>
      </c>
      <c r="B2982" s="784"/>
      <c r="C2982" s="784"/>
      <c r="D2982" s="784"/>
      <c r="E2982" s="784"/>
      <c r="F2982" s="784"/>
      <c r="G2982" s="440">
        <f>ROUNDDOWN(SUM(G2980:G2981),2)</f>
        <v>0.49</v>
      </c>
    </row>
    <row r="2983" spans="1:7" ht="12.75">
      <c r="A2983" s="783" t="s">
        <v>440</v>
      </c>
      <c r="B2983" s="784"/>
      <c r="C2983" s="784"/>
      <c r="D2983" s="784"/>
      <c r="E2983" s="784"/>
      <c r="F2983" s="784"/>
      <c r="G2983" s="440">
        <f>ROUNDDOWN(SUM(G2977:G2979),2)</f>
        <v>4.71</v>
      </c>
    </row>
    <row r="2984" spans="1:7" ht="12.75">
      <c r="A2984" s="783" t="s">
        <v>441</v>
      </c>
      <c r="B2984" s="784"/>
      <c r="C2984" s="784"/>
      <c r="D2984" s="784"/>
      <c r="E2984" s="784"/>
      <c r="F2984" s="784"/>
      <c r="G2984" s="440">
        <f>SUM(G2982:G2983)</f>
        <v>5.2</v>
      </c>
    </row>
    <row r="2985" spans="1:7" ht="12.75">
      <c r="A2985" s="783" t="s">
        <v>442</v>
      </c>
      <c r="B2985" s="784"/>
      <c r="C2985" s="784"/>
      <c r="D2985" s="784"/>
      <c r="E2985" s="784"/>
      <c r="F2985" s="784"/>
      <c r="G2985" s="440">
        <f>G2982*85.16%</f>
        <v>0.41728399999999993</v>
      </c>
    </row>
    <row r="2986" spans="1:7" ht="12.75">
      <c r="A2986" s="783" t="s">
        <v>443</v>
      </c>
      <c r="B2986" s="784"/>
      <c r="C2986" s="784"/>
      <c r="D2986" s="784"/>
      <c r="E2986" s="784"/>
      <c r="F2986" s="784"/>
      <c r="G2986" s="440">
        <f>G2985</f>
        <v>0.41728399999999993</v>
      </c>
    </row>
    <row r="2987" spans="1:7" ht="12.75">
      <c r="A2987" s="785" t="s">
        <v>444</v>
      </c>
      <c r="B2987" s="786"/>
      <c r="C2987" s="786"/>
      <c r="D2987" s="786"/>
      <c r="E2987" s="786"/>
      <c r="F2987" s="787"/>
      <c r="G2987" s="440">
        <f>G2983</f>
        <v>4.71</v>
      </c>
    </row>
    <row r="2988" spans="1:7" ht="12.75">
      <c r="A2988" s="785" t="s">
        <v>445</v>
      </c>
      <c r="B2988" s="786"/>
      <c r="C2988" s="786"/>
      <c r="D2988" s="786"/>
      <c r="E2988" s="786"/>
      <c r="F2988" s="787"/>
      <c r="G2988" s="440">
        <f>G2982+G2986</f>
        <v>0.907284</v>
      </c>
    </row>
    <row r="2989" spans="1:7" ht="12.75">
      <c r="A2989" s="785" t="s">
        <v>446</v>
      </c>
      <c r="B2989" s="786"/>
      <c r="C2989" s="786"/>
      <c r="D2989" s="786"/>
      <c r="E2989" s="786"/>
      <c r="F2989" s="787"/>
      <c r="G2989" s="440">
        <f>SUM(G2987:G2988)</f>
        <v>5.617284</v>
      </c>
    </row>
    <row r="2990" spans="1:7" ht="12.75" customHeight="1">
      <c r="A2990" s="542"/>
      <c r="C2990" s="543"/>
      <c r="D2990" s="543"/>
      <c r="E2990" s="457"/>
      <c r="F2990" s="457"/>
      <c r="G2990" s="458"/>
    </row>
    <row r="2991" spans="1:7" ht="12.75">
      <c r="A2991" s="597" t="s">
        <v>1475</v>
      </c>
      <c r="B2991" s="597" t="s">
        <v>1472</v>
      </c>
      <c r="C2991" s="595"/>
      <c r="D2991" s="595"/>
      <c r="E2991" s="595"/>
      <c r="F2991" s="595"/>
      <c r="G2991" s="596"/>
    </row>
    <row r="2992" spans="1:7" ht="12.75">
      <c r="A2992" s="597" t="s">
        <v>1462</v>
      </c>
      <c r="B2992" s="597" t="s">
        <v>1816</v>
      </c>
      <c r="C2992" s="595"/>
      <c r="D2992" s="595"/>
      <c r="E2992" s="595"/>
      <c r="F2992" s="595"/>
      <c r="G2992" s="596"/>
    </row>
    <row r="2993" spans="1:7" ht="12.75">
      <c r="A2993" s="597" t="s">
        <v>1815</v>
      </c>
      <c r="B2993" s="597"/>
      <c r="C2993" s="595"/>
      <c r="D2993" s="595"/>
      <c r="E2993" s="595"/>
      <c r="F2993" s="595"/>
      <c r="G2993" s="596"/>
    </row>
    <row r="2994" spans="1:7" ht="12.75">
      <c r="A2994" s="171" t="s">
        <v>1110</v>
      </c>
      <c r="B2994" s="182" t="s">
        <v>90</v>
      </c>
      <c r="C2994" s="172" t="s">
        <v>72</v>
      </c>
      <c r="D2994" s="172" t="s">
        <v>82</v>
      </c>
      <c r="E2994" s="373"/>
      <c r="F2994" s="374"/>
      <c r="G2994" s="375"/>
    </row>
    <row r="2995" spans="1:7" ht="25.5">
      <c r="A2995" s="173" t="s">
        <v>91</v>
      </c>
      <c r="B2995" s="174" t="s">
        <v>92</v>
      </c>
      <c r="C2995" s="175" t="s">
        <v>73</v>
      </c>
      <c r="D2995" s="175" t="s">
        <v>85</v>
      </c>
      <c r="E2995" s="434">
        <v>0.05</v>
      </c>
      <c r="F2995" s="435">
        <v>4.05</v>
      </c>
      <c r="G2995" s="436">
        <f>E2995*F2995</f>
        <v>0.2025</v>
      </c>
    </row>
    <row r="2996" spans="1:7" ht="25.5">
      <c r="A2996" s="173" t="s">
        <v>437</v>
      </c>
      <c r="B2996" s="174" t="s">
        <v>438</v>
      </c>
      <c r="C2996" s="175" t="s">
        <v>72</v>
      </c>
      <c r="D2996" s="175" t="s">
        <v>77</v>
      </c>
      <c r="E2996" s="434">
        <v>0.14</v>
      </c>
      <c r="F2996" s="435">
        <v>12.64</v>
      </c>
      <c r="G2996" s="436">
        <f>E2996*F2996</f>
        <v>1.7696000000000003</v>
      </c>
    </row>
    <row r="2997" spans="1:7" ht="12.75">
      <c r="A2997" s="783" t="s">
        <v>439</v>
      </c>
      <c r="B2997" s="784"/>
      <c r="C2997" s="784"/>
      <c r="D2997" s="784"/>
      <c r="E2997" s="784"/>
      <c r="F2997" s="784"/>
      <c r="G2997" s="440">
        <f>ROUNDDOWN(SUM(G2996),2)</f>
        <v>1.76</v>
      </c>
    </row>
    <row r="2998" spans="1:7" ht="12.75">
      <c r="A2998" s="783" t="s">
        <v>440</v>
      </c>
      <c r="B2998" s="784"/>
      <c r="C2998" s="784"/>
      <c r="D2998" s="784"/>
      <c r="E2998" s="784"/>
      <c r="F2998" s="784"/>
      <c r="G2998" s="440">
        <f>ROUNDDOWN(SUM(G2995),2)</f>
        <v>0.2</v>
      </c>
    </row>
    <row r="2999" spans="1:7" ht="12.75">
      <c r="A2999" s="783" t="s">
        <v>441</v>
      </c>
      <c r="B2999" s="784"/>
      <c r="C2999" s="784"/>
      <c r="D2999" s="784"/>
      <c r="E2999" s="784"/>
      <c r="F2999" s="784"/>
      <c r="G2999" s="440">
        <f>SUM(G2997:G2998)</f>
        <v>1.96</v>
      </c>
    </row>
    <row r="3000" spans="1:7" ht="12.75">
      <c r="A3000" s="783" t="s">
        <v>442</v>
      </c>
      <c r="B3000" s="784"/>
      <c r="C3000" s="784"/>
      <c r="D3000" s="784"/>
      <c r="E3000" s="784"/>
      <c r="F3000" s="784"/>
      <c r="G3000" s="440">
        <f>G2997*85.16%</f>
        <v>1.498816</v>
      </c>
    </row>
    <row r="3001" spans="1:7" ht="12.75">
      <c r="A3001" s="783" t="s">
        <v>443</v>
      </c>
      <c r="B3001" s="784"/>
      <c r="C3001" s="784"/>
      <c r="D3001" s="784"/>
      <c r="E3001" s="784"/>
      <c r="F3001" s="784"/>
      <c r="G3001" s="440">
        <f>G3000</f>
        <v>1.498816</v>
      </c>
    </row>
    <row r="3002" spans="1:7" ht="12.75">
      <c r="A3002" s="785" t="s">
        <v>444</v>
      </c>
      <c r="B3002" s="786"/>
      <c r="C3002" s="786"/>
      <c r="D3002" s="786"/>
      <c r="E3002" s="786"/>
      <c r="F3002" s="787"/>
      <c r="G3002" s="440">
        <f>G2998</f>
        <v>0.2</v>
      </c>
    </row>
    <row r="3003" spans="1:7" ht="12.75">
      <c r="A3003" s="785" t="s">
        <v>445</v>
      </c>
      <c r="B3003" s="786"/>
      <c r="C3003" s="786"/>
      <c r="D3003" s="786"/>
      <c r="E3003" s="786"/>
      <c r="F3003" s="787"/>
      <c r="G3003" s="440">
        <f>G2997+G3001</f>
        <v>3.258816</v>
      </c>
    </row>
    <row r="3004" spans="1:7" ht="12.75">
      <c r="A3004" s="785" t="s">
        <v>446</v>
      </c>
      <c r="B3004" s="786"/>
      <c r="C3004" s="786"/>
      <c r="D3004" s="786"/>
      <c r="E3004" s="786"/>
      <c r="F3004" s="787"/>
      <c r="G3004" s="440">
        <f>SUM(G3002:G3003)</f>
        <v>3.458816</v>
      </c>
    </row>
    <row r="3005" spans="1:7" ht="12.75">
      <c r="A3005" s="796"/>
      <c r="B3005" s="797"/>
      <c r="C3005" s="797"/>
      <c r="D3005" s="797"/>
      <c r="E3005" s="797"/>
      <c r="F3005" s="797"/>
      <c r="G3005" s="798"/>
    </row>
    <row r="3006" spans="1:7" ht="12.75">
      <c r="A3006" s="804"/>
      <c r="B3006" s="805"/>
      <c r="C3006" s="805"/>
      <c r="D3006" s="805"/>
      <c r="E3006" s="805"/>
      <c r="F3006" s="805"/>
      <c r="G3006" s="806"/>
    </row>
    <row r="3007" spans="1:7" ht="12.75">
      <c r="A3007" s="594"/>
      <c r="B3007" s="595"/>
      <c r="C3007" s="595"/>
      <c r="D3007" s="595"/>
      <c r="E3007" s="595"/>
      <c r="F3007" s="595"/>
      <c r="G3007" s="596"/>
    </row>
    <row r="3008" spans="1:7" ht="12.75">
      <c r="A3008" s="594"/>
      <c r="B3008" s="595"/>
      <c r="C3008" s="595"/>
      <c r="D3008" s="595"/>
      <c r="E3008" s="595"/>
      <c r="F3008" s="595"/>
      <c r="G3008" s="596"/>
    </row>
    <row r="3009" spans="1:7" ht="12.75">
      <c r="A3009" s="597" t="s">
        <v>1463</v>
      </c>
      <c r="B3009" s="597" t="s">
        <v>1818</v>
      </c>
      <c r="C3009" s="595"/>
      <c r="D3009" s="595"/>
      <c r="E3009" s="595"/>
      <c r="F3009" s="595"/>
      <c r="G3009" s="596"/>
    </row>
    <row r="3010" spans="1:7" ht="12.75">
      <c r="A3010" s="597" t="s">
        <v>1819</v>
      </c>
      <c r="B3010" s="597"/>
      <c r="C3010" s="595"/>
      <c r="D3010" s="595"/>
      <c r="E3010" s="595"/>
      <c r="F3010" s="595"/>
      <c r="G3010" s="596"/>
    </row>
    <row r="3011" spans="1:7" ht="25.5">
      <c r="A3011" s="171" t="s">
        <v>1111</v>
      </c>
      <c r="B3011" s="182" t="s">
        <v>23</v>
      </c>
      <c r="C3011" s="172" t="s">
        <v>72</v>
      </c>
      <c r="D3011" s="172" t="s">
        <v>75</v>
      </c>
      <c r="E3011" s="373"/>
      <c r="F3011" s="374"/>
      <c r="G3011" s="375"/>
    </row>
    <row r="3012" spans="1:7" ht="25.5">
      <c r="A3012" s="173" t="s">
        <v>1112</v>
      </c>
      <c r="B3012" s="174" t="s">
        <v>1113</v>
      </c>
      <c r="C3012" s="175" t="s">
        <v>72</v>
      </c>
      <c r="D3012" s="175" t="s">
        <v>77</v>
      </c>
      <c r="E3012" s="434">
        <v>0.15</v>
      </c>
      <c r="F3012" s="435">
        <v>16.74</v>
      </c>
      <c r="G3012" s="436">
        <f>E3012*F3012</f>
        <v>2.5109999999999997</v>
      </c>
    </row>
    <row r="3013" spans="1:7" ht="12.75">
      <c r="A3013" s="783" t="s">
        <v>439</v>
      </c>
      <c r="B3013" s="784"/>
      <c r="C3013" s="784"/>
      <c r="D3013" s="784"/>
      <c r="E3013" s="784"/>
      <c r="F3013" s="784"/>
      <c r="G3013" s="440">
        <f>ROUNDDOWN(SUM(G3012),2)</f>
        <v>2.51</v>
      </c>
    </row>
    <row r="3014" spans="1:7" ht="12.75">
      <c r="A3014" s="783" t="s">
        <v>440</v>
      </c>
      <c r="B3014" s="784"/>
      <c r="C3014" s="784"/>
      <c r="D3014" s="784"/>
      <c r="E3014" s="784"/>
      <c r="F3014" s="784"/>
      <c r="G3014" s="440">
        <f>ROUNDDOWN(SUM(G3011),2)</f>
        <v>0</v>
      </c>
    </row>
    <row r="3015" spans="1:7" ht="12.75">
      <c r="A3015" s="783" t="s">
        <v>441</v>
      </c>
      <c r="B3015" s="784"/>
      <c r="C3015" s="784"/>
      <c r="D3015" s="784"/>
      <c r="E3015" s="784"/>
      <c r="F3015" s="784"/>
      <c r="G3015" s="440">
        <f>SUM(G3013:G3014)</f>
        <v>2.51</v>
      </c>
    </row>
    <row r="3016" spans="1:7" ht="12.75">
      <c r="A3016" s="783" t="s">
        <v>442</v>
      </c>
      <c r="B3016" s="784"/>
      <c r="C3016" s="784"/>
      <c r="D3016" s="784"/>
      <c r="E3016" s="784"/>
      <c r="F3016" s="784"/>
      <c r="G3016" s="440">
        <f>G3013*85.16%</f>
        <v>2.1375159999999997</v>
      </c>
    </row>
    <row r="3017" spans="1:7" ht="12.75">
      <c r="A3017" s="783" t="s">
        <v>443</v>
      </c>
      <c r="B3017" s="784"/>
      <c r="C3017" s="784"/>
      <c r="D3017" s="784"/>
      <c r="E3017" s="784"/>
      <c r="F3017" s="784"/>
      <c r="G3017" s="440">
        <f>G3016</f>
        <v>2.1375159999999997</v>
      </c>
    </row>
    <row r="3018" spans="1:7" ht="12.75">
      <c r="A3018" s="785" t="s">
        <v>444</v>
      </c>
      <c r="B3018" s="786"/>
      <c r="C3018" s="786"/>
      <c r="D3018" s="786"/>
      <c r="E3018" s="786"/>
      <c r="F3018" s="787"/>
      <c r="G3018" s="440">
        <f>G3014</f>
        <v>0</v>
      </c>
    </row>
    <row r="3019" spans="1:7" ht="12.75">
      <c r="A3019" s="785" t="s">
        <v>445</v>
      </c>
      <c r="B3019" s="786"/>
      <c r="C3019" s="786"/>
      <c r="D3019" s="786"/>
      <c r="E3019" s="786"/>
      <c r="F3019" s="787"/>
      <c r="G3019" s="440">
        <f>G3013+G3017</f>
        <v>4.6475159999999995</v>
      </c>
    </row>
    <row r="3020" spans="1:7" ht="12.75">
      <c r="A3020" s="785" t="s">
        <v>446</v>
      </c>
      <c r="B3020" s="786"/>
      <c r="C3020" s="786"/>
      <c r="D3020" s="786"/>
      <c r="E3020" s="786"/>
      <c r="F3020" s="787"/>
      <c r="G3020" s="440">
        <f>SUM(G3018:G3019)</f>
        <v>4.6475159999999995</v>
      </c>
    </row>
    <row r="3021" spans="1:7" ht="12.75">
      <c r="A3021" s="796"/>
      <c r="B3021" s="797"/>
      <c r="C3021" s="797"/>
      <c r="D3021" s="797"/>
      <c r="E3021" s="797"/>
      <c r="F3021" s="797"/>
      <c r="G3021" s="798"/>
    </row>
    <row r="3022" spans="1:7" ht="12.75">
      <c r="A3022" s="491" t="s">
        <v>83</v>
      </c>
      <c r="B3022" s="799" t="s">
        <v>84</v>
      </c>
      <c r="C3022" s="799"/>
      <c r="D3022" s="799"/>
      <c r="E3022" s="799"/>
      <c r="F3022" s="799"/>
      <c r="G3022" s="800"/>
    </row>
    <row r="3023" spans="1:7" ht="12.75">
      <c r="A3023" s="491"/>
      <c r="B3023" s="717"/>
      <c r="C3023" s="717"/>
      <c r="D3023" s="717"/>
      <c r="E3023" s="717"/>
      <c r="F3023" s="717"/>
      <c r="G3023" s="718"/>
    </row>
    <row r="3024" spans="1:7" ht="12.75">
      <c r="A3024" s="716" t="s">
        <v>1525</v>
      </c>
      <c r="B3024" s="716" t="s">
        <v>1526</v>
      </c>
      <c r="C3024" s="717"/>
      <c r="D3024" s="717"/>
      <c r="E3024" s="717"/>
      <c r="F3024" s="717"/>
      <c r="G3024" s="718"/>
    </row>
    <row r="3025" spans="1:7" ht="12.75">
      <c r="A3025" s="716" t="s">
        <v>1523</v>
      </c>
      <c r="B3025" s="716" t="s">
        <v>1524</v>
      </c>
      <c r="C3025" s="719"/>
      <c r="D3025" s="719"/>
      <c r="E3025" s="457"/>
      <c r="F3025" s="457"/>
      <c r="G3025" s="458"/>
    </row>
    <row r="3026" spans="1:7" ht="76.5">
      <c r="A3026" s="716" t="s">
        <v>1828</v>
      </c>
      <c r="B3026" s="716" t="s">
        <v>1831</v>
      </c>
      <c r="C3026" s="719"/>
      <c r="D3026" s="719"/>
      <c r="E3026" s="457"/>
      <c r="F3026" s="457"/>
      <c r="G3026" s="458"/>
    </row>
    <row r="3027" spans="1:7" ht="12.75">
      <c r="A3027" s="171"/>
      <c r="B3027" s="716"/>
      <c r="C3027" s="172"/>
      <c r="D3027" s="172"/>
      <c r="E3027" s="373"/>
      <c r="F3027" s="374"/>
      <c r="G3027" s="375"/>
    </row>
    <row r="3028" spans="1:7" ht="38.25">
      <c r="A3028" s="173">
        <v>108</v>
      </c>
      <c r="B3028" s="174" t="s">
        <v>1830</v>
      </c>
      <c r="C3028" s="175" t="s">
        <v>1230</v>
      </c>
      <c r="D3028" s="175" t="s">
        <v>75</v>
      </c>
      <c r="E3028" s="434">
        <v>1</v>
      </c>
      <c r="F3028" s="435">
        <v>1.28</v>
      </c>
      <c r="G3028" s="436">
        <f aca="true" t="shared" si="40" ref="G3028:G3033">E3028*F3028</f>
        <v>1.28</v>
      </c>
    </row>
    <row r="3029" spans="1:7" ht="25.5">
      <c r="A3029" s="173">
        <v>122</v>
      </c>
      <c r="B3029" s="174" t="s">
        <v>578</v>
      </c>
      <c r="C3029" s="175" t="s">
        <v>1230</v>
      </c>
      <c r="D3029" s="175" t="s">
        <v>75</v>
      </c>
      <c r="E3029" s="434">
        <v>0.009</v>
      </c>
      <c r="F3029" s="435">
        <v>41.55</v>
      </c>
      <c r="G3029" s="436">
        <f t="shared" si="40"/>
        <v>0.37394999999999995</v>
      </c>
    </row>
    <row r="3030" spans="1:7" ht="25.5">
      <c r="A3030" s="173">
        <v>20083</v>
      </c>
      <c r="B3030" s="174" t="s">
        <v>580</v>
      </c>
      <c r="C3030" s="175" t="s">
        <v>1230</v>
      </c>
      <c r="D3030" s="175" t="s">
        <v>75</v>
      </c>
      <c r="E3030" s="434">
        <v>0.011</v>
      </c>
      <c r="F3030" s="435">
        <v>36.08</v>
      </c>
      <c r="G3030" s="436">
        <f t="shared" si="40"/>
        <v>0.39687999999999996</v>
      </c>
    </row>
    <row r="3031" spans="1:7" ht="12.75">
      <c r="A3031" s="173">
        <v>38383</v>
      </c>
      <c r="B3031" s="174" t="s">
        <v>584</v>
      </c>
      <c r="C3031" s="175" t="s">
        <v>1230</v>
      </c>
      <c r="D3031" s="175" t="s">
        <v>75</v>
      </c>
      <c r="E3031" s="434">
        <v>0.06</v>
      </c>
      <c r="F3031" s="435">
        <v>1.52</v>
      </c>
      <c r="G3031" s="436">
        <f t="shared" si="40"/>
        <v>0.0912</v>
      </c>
    </row>
    <row r="3032" spans="1:7" ht="38.25">
      <c r="A3032" s="173" t="s">
        <v>1239</v>
      </c>
      <c r="B3032" s="174" t="s">
        <v>493</v>
      </c>
      <c r="C3032" s="175" t="s">
        <v>72</v>
      </c>
      <c r="D3032" s="175" t="s">
        <v>77</v>
      </c>
      <c r="E3032" s="434">
        <v>0.119</v>
      </c>
      <c r="F3032" s="435">
        <v>12.86</v>
      </c>
      <c r="G3032" s="436">
        <f t="shared" si="40"/>
        <v>1.5303399999999998</v>
      </c>
    </row>
    <row r="3033" spans="1:7" ht="25.5">
      <c r="A3033" s="173" t="s">
        <v>1240</v>
      </c>
      <c r="B3033" s="174" t="s">
        <v>495</v>
      </c>
      <c r="C3033" s="175" t="s">
        <v>72</v>
      </c>
      <c r="D3033" s="175" t="s">
        <v>77</v>
      </c>
      <c r="E3033" s="434">
        <v>0.119</v>
      </c>
      <c r="F3033" s="435">
        <v>15.12</v>
      </c>
      <c r="G3033" s="436">
        <f t="shared" si="40"/>
        <v>1.7992799999999998</v>
      </c>
    </row>
    <row r="3034" spans="1:7" ht="12.75">
      <c r="A3034" s="783" t="s">
        <v>439</v>
      </c>
      <c r="B3034" s="784"/>
      <c r="C3034" s="784"/>
      <c r="D3034" s="784"/>
      <c r="E3034" s="784"/>
      <c r="F3034" s="784"/>
      <c r="G3034" s="440">
        <f>ROUNDDOWN(SUM(G3032:G3033),2)</f>
        <v>3.32</v>
      </c>
    </row>
    <row r="3035" spans="1:7" ht="12.75">
      <c r="A3035" s="783" t="s">
        <v>440</v>
      </c>
      <c r="B3035" s="784"/>
      <c r="C3035" s="784"/>
      <c r="D3035" s="784"/>
      <c r="E3035" s="784"/>
      <c r="F3035" s="784"/>
      <c r="G3035" s="440">
        <f>ROUNDDOWN(SUM(G3028:G3031),2)</f>
        <v>2.14</v>
      </c>
    </row>
    <row r="3036" spans="1:7" ht="12.75">
      <c r="A3036" s="783" t="s">
        <v>441</v>
      </c>
      <c r="B3036" s="784"/>
      <c r="C3036" s="784"/>
      <c r="D3036" s="784"/>
      <c r="E3036" s="784"/>
      <c r="F3036" s="784"/>
      <c r="G3036" s="440">
        <f>SUM(G3034:G3035)</f>
        <v>5.46</v>
      </c>
    </row>
    <row r="3037" spans="1:7" ht="12.75">
      <c r="A3037" s="783" t="s">
        <v>442</v>
      </c>
      <c r="B3037" s="784"/>
      <c r="C3037" s="784"/>
      <c r="D3037" s="784"/>
      <c r="E3037" s="784"/>
      <c r="F3037" s="784"/>
      <c r="G3037" s="440">
        <f>G3034*85.16%</f>
        <v>2.8273119999999996</v>
      </c>
    </row>
    <row r="3038" spans="1:7" ht="12.75">
      <c r="A3038" s="783" t="s">
        <v>443</v>
      </c>
      <c r="B3038" s="784"/>
      <c r="C3038" s="784"/>
      <c r="D3038" s="784"/>
      <c r="E3038" s="784"/>
      <c r="F3038" s="784"/>
      <c r="G3038" s="440">
        <f>G3037</f>
        <v>2.8273119999999996</v>
      </c>
    </row>
    <row r="3039" spans="1:7" ht="12.75">
      <c r="A3039" s="785" t="s">
        <v>444</v>
      </c>
      <c r="B3039" s="786"/>
      <c r="C3039" s="786"/>
      <c r="D3039" s="786"/>
      <c r="E3039" s="786"/>
      <c r="F3039" s="787"/>
      <c r="G3039" s="440">
        <f>G3035</f>
        <v>2.14</v>
      </c>
    </row>
    <row r="3040" spans="1:7" ht="12.75">
      <c r="A3040" s="785" t="s">
        <v>445</v>
      </c>
      <c r="B3040" s="786"/>
      <c r="C3040" s="786"/>
      <c r="D3040" s="786"/>
      <c r="E3040" s="786"/>
      <c r="F3040" s="787"/>
      <c r="G3040" s="440">
        <f>G3034+G3038</f>
        <v>6.147311999999999</v>
      </c>
    </row>
    <row r="3041" spans="1:7" ht="12.75">
      <c r="A3041" s="785" t="s">
        <v>446</v>
      </c>
      <c r="B3041" s="786"/>
      <c r="C3041" s="786"/>
      <c r="D3041" s="786"/>
      <c r="E3041" s="786"/>
      <c r="F3041" s="787"/>
      <c r="G3041" s="440">
        <f>SUM(G3039:G3040)</f>
        <v>8.287312</v>
      </c>
    </row>
    <row r="3042" spans="1:7" ht="12.75">
      <c r="A3042" s="491"/>
      <c r="B3042" s="717"/>
      <c r="C3042" s="717"/>
      <c r="D3042" s="717"/>
      <c r="E3042" s="717"/>
      <c r="F3042" s="717"/>
      <c r="G3042" s="718"/>
    </row>
    <row r="3043" spans="1:7" ht="12.75">
      <c r="A3043" s="491"/>
      <c r="B3043" s="717"/>
      <c r="C3043" s="717"/>
      <c r="D3043" s="717"/>
      <c r="E3043" s="717"/>
      <c r="F3043" s="717"/>
      <c r="G3043" s="718"/>
    </row>
    <row r="3044" spans="1:7" ht="12.75">
      <c r="A3044" s="491"/>
      <c r="B3044" s="717"/>
      <c r="C3044" s="717"/>
      <c r="D3044" s="717"/>
      <c r="E3044" s="717"/>
      <c r="F3044" s="717"/>
      <c r="G3044" s="718"/>
    </row>
    <row r="3045" spans="1:7" ht="12.75">
      <c r="A3045" s="491"/>
      <c r="B3045" s="717"/>
      <c r="C3045" s="717"/>
      <c r="D3045" s="717"/>
      <c r="E3045" s="717"/>
      <c r="F3045" s="717"/>
      <c r="G3045" s="718"/>
    </row>
    <row r="3046" spans="1:7" ht="12.75">
      <c r="A3046" s="491"/>
      <c r="B3046" s="717"/>
      <c r="C3046" s="717"/>
      <c r="D3046" s="717"/>
      <c r="E3046" s="717"/>
      <c r="F3046" s="717"/>
      <c r="G3046" s="718"/>
    </row>
    <row r="3047" spans="1:7" ht="12.75">
      <c r="A3047" s="804"/>
      <c r="B3047" s="805"/>
      <c r="C3047" s="805"/>
      <c r="D3047" s="805"/>
      <c r="E3047" s="805"/>
      <c r="F3047" s="805"/>
      <c r="G3047" s="806"/>
    </row>
    <row r="3048" spans="1:7" ht="12.75">
      <c r="A3048" s="817" t="s">
        <v>1114</v>
      </c>
      <c r="B3048" s="818"/>
      <c r="C3048" s="818"/>
      <c r="D3048" s="818"/>
      <c r="E3048" s="818"/>
      <c r="F3048" s="818"/>
      <c r="G3048" s="819"/>
    </row>
    <row r="3050" spans="1:4" ht="12.75">
      <c r="A3050" s="243" t="s">
        <v>3</v>
      </c>
      <c r="B3050" s="242"/>
      <c r="C3050" s="746" t="s">
        <v>364</v>
      </c>
      <c r="D3050" s="748"/>
    </row>
    <row r="3051" spans="1:4" ht="12.75">
      <c r="A3051" s="846" t="s">
        <v>366</v>
      </c>
      <c r="B3051" s="847"/>
      <c r="C3051" s="143"/>
      <c r="D3051" s="145"/>
    </row>
    <row r="3052" spans="1:4" ht="12.75">
      <c r="A3052" s="153"/>
      <c r="B3052" s="154"/>
      <c r="C3052" s="155"/>
      <c r="D3052" s="157"/>
    </row>
    <row r="3053" spans="1:4" ht="12.75">
      <c r="A3053" s="848" t="s">
        <v>367</v>
      </c>
      <c r="B3053" s="849"/>
      <c r="C3053" s="148"/>
      <c r="D3053" s="150"/>
    </row>
    <row r="3054" spans="1:4" ht="12.75">
      <c r="A3054" s="5"/>
      <c r="B3054" s="2"/>
      <c r="C3054" s="2"/>
      <c r="D3054" s="102"/>
    </row>
    <row r="3055" spans="1:4" ht="12.75">
      <c r="A3055" s="140" t="s">
        <v>365</v>
      </c>
      <c r="B3055" s="141"/>
      <c r="C3055" s="746" t="s">
        <v>364</v>
      </c>
      <c r="D3055" s="748"/>
    </row>
    <row r="3056" spans="1:4" ht="3.75" customHeight="1">
      <c r="A3056" s="248"/>
      <c r="B3056" s="247"/>
      <c r="C3056" s="248"/>
      <c r="D3056" s="247"/>
    </row>
    <row r="3057" spans="1:4" ht="15">
      <c r="A3057" s="246"/>
      <c r="B3057" s="245"/>
      <c r="C3057" s="246"/>
      <c r="D3057" s="245"/>
    </row>
    <row r="3084" ht="10.5" customHeight="1"/>
  </sheetData>
  <sheetProtection/>
  <mergeCells count="1736">
    <mergeCell ref="A44:F44"/>
    <mergeCell ref="A45:F45"/>
    <mergeCell ref="A46:F46"/>
    <mergeCell ref="A47:F47"/>
    <mergeCell ref="A48:F48"/>
    <mergeCell ref="A380:F380"/>
    <mergeCell ref="A53:G53"/>
    <mergeCell ref="A69:F69"/>
    <mergeCell ref="A70:F70"/>
    <mergeCell ref="A71:F71"/>
    <mergeCell ref="A89:G89"/>
    <mergeCell ref="A382:F382"/>
    <mergeCell ref="A285:F285"/>
    <mergeCell ref="A259:G259"/>
    <mergeCell ref="A187:F187"/>
    <mergeCell ref="A124:G124"/>
    <mergeCell ref="A123:F123"/>
    <mergeCell ref="A381:F381"/>
    <mergeCell ref="A321:F321"/>
    <mergeCell ref="A254:F254"/>
    <mergeCell ref="C3055:D3055"/>
    <mergeCell ref="A288:F288"/>
    <mergeCell ref="A289:F289"/>
    <mergeCell ref="A290:F290"/>
    <mergeCell ref="A379:F379"/>
    <mergeCell ref="C3050:D3050"/>
    <mergeCell ref="A348:F348"/>
    <mergeCell ref="A1843:F1843"/>
    <mergeCell ref="A845:F845"/>
    <mergeCell ref="A846:F846"/>
    <mergeCell ref="B388:G388"/>
    <mergeCell ref="A192:F192"/>
    <mergeCell ref="A389:G389"/>
    <mergeCell ref="A336:F336"/>
    <mergeCell ref="A3051:B3051"/>
    <mergeCell ref="A3053:B3053"/>
    <mergeCell ref="A839:F839"/>
    <mergeCell ref="A840:F840"/>
    <mergeCell ref="A841:F841"/>
    <mergeCell ref="A842:F842"/>
    <mergeCell ref="A119:F119"/>
    <mergeCell ref="A49:F49"/>
    <mergeCell ref="A50:F50"/>
    <mergeCell ref="A102:F102"/>
    <mergeCell ref="A406:G406"/>
    <mergeCell ref="A249:F249"/>
    <mergeCell ref="A129:G129"/>
    <mergeCell ref="A385:F385"/>
    <mergeCell ref="A386:F386"/>
    <mergeCell ref="A387:G387"/>
    <mergeCell ref="A255:F255"/>
    <mergeCell ref="A239:F239"/>
    <mergeCell ref="A240:F240"/>
    <mergeCell ref="A241:F241"/>
    <mergeCell ref="F5:G5"/>
    <mergeCell ref="F6:G6"/>
    <mergeCell ref="A28:F28"/>
    <mergeCell ref="A27:F27"/>
    <mergeCell ref="A121:F121"/>
    <mergeCell ref="A29:F29"/>
    <mergeCell ref="A219:F219"/>
    <mergeCell ref="C1:G1"/>
    <mergeCell ref="B13:G13"/>
    <mergeCell ref="B33:G33"/>
    <mergeCell ref="F2:G2"/>
    <mergeCell ref="F3:G3"/>
    <mergeCell ref="F4:G4"/>
    <mergeCell ref="A24:F24"/>
    <mergeCell ref="A25:F25"/>
    <mergeCell ref="A26:F26"/>
    <mergeCell ref="C2:E2"/>
    <mergeCell ref="A51:F51"/>
    <mergeCell ref="A52:G52"/>
    <mergeCell ref="A87:F87"/>
    <mergeCell ref="A88:F88"/>
    <mergeCell ref="A101:F101"/>
    <mergeCell ref="A81:F81"/>
    <mergeCell ref="A82:F82"/>
    <mergeCell ref="B77:G77"/>
    <mergeCell ref="B91:G91"/>
    <mergeCell ref="A105:F105"/>
    <mergeCell ref="F7:G7"/>
    <mergeCell ref="A9:G9"/>
    <mergeCell ref="A83:F83"/>
    <mergeCell ref="A84:F84"/>
    <mergeCell ref="A85:F85"/>
    <mergeCell ref="A86:F86"/>
    <mergeCell ref="A23:F23"/>
    <mergeCell ref="A30:F30"/>
    <mergeCell ref="A103:F103"/>
    <mergeCell ref="A106:F106"/>
    <mergeCell ref="A107:F107"/>
    <mergeCell ref="A108:F108"/>
    <mergeCell ref="A158:F158"/>
    <mergeCell ref="A139:F139"/>
    <mergeCell ref="A140:F140"/>
    <mergeCell ref="A156:F156"/>
    <mergeCell ref="A136:F136"/>
    <mergeCell ref="A137:F137"/>
    <mergeCell ref="A120:F120"/>
    <mergeCell ref="A104:F104"/>
    <mergeCell ref="B125:G125"/>
    <mergeCell ref="A126:G126"/>
    <mergeCell ref="A174:F174"/>
    <mergeCell ref="A138:F138"/>
    <mergeCell ref="A122:F122"/>
    <mergeCell ref="A142:F142"/>
    <mergeCell ref="A143:F143"/>
    <mergeCell ref="A144:G144"/>
    <mergeCell ref="A154:F154"/>
    <mergeCell ref="C3:E3"/>
    <mergeCell ref="C4:E4"/>
    <mergeCell ref="C5:E5"/>
    <mergeCell ref="C6:E6"/>
    <mergeCell ref="C7:E7"/>
    <mergeCell ref="A141:F141"/>
    <mergeCell ref="A72:F72"/>
    <mergeCell ref="B73:G73"/>
    <mergeCell ref="B32:G32"/>
    <mergeCell ref="B76:G76"/>
    <mergeCell ref="A155:F155"/>
    <mergeCell ref="A116:F116"/>
    <mergeCell ref="A117:F117"/>
    <mergeCell ref="A118:F118"/>
    <mergeCell ref="A251:F251"/>
    <mergeCell ref="A193:F193"/>
    <mergeCell ref="A194:F194"/>
    <mergeCell ref="A195:G195"/>
    <mergeCell ref="A198:G198"/>
    <mergeCell ref="A176:F176"/>
    <mergeCell ref="A160:F160"/>
    <mergeCell ref="A161:F161"/>
    <mergeCell ref="A162:G162"/>
    <mergeCell ref="A163:G163"/>
    <mergeCell ref="A208:F208"/>
    <mergeCell ref="A189:F189"/>
    <mergeCell ref="A190:F190"/>
    <mergeCell ref="A191:F191"/>
    <mergeCell ref="A188:F188"/>
    <mergeCell ref="A423:G423"/>
    <mergeCell ref="A223:F223"/>
    <mergeCell ref="A157:F157"/>
    <mergeCell ref="A172:F172"/>
    <mergeCell ref="A173:F173"/>
    <mergeCell ref="A270:F270"/>
    <mergeCell ref="A271:F271"/>
    <mergeCell ref="A175:F175"/>
    <mergeCell ref="A351:F351"/>
    <mergeCell ref="A159:F159"/>
    <mergeCell ref="A269:F269"/>
    <mergeCell ref="A301:F301"/>
    <mergeCell ref="A287:F287"/>
    <mergeCell ref="A267:F267"/>
    <mergeCell ref="A268:F268"/>
    <mergeCell ref="A286:F286"/>
    <mergeCell ref="A291:G291"/>
    <mergeCell ref="A300:F300"/>
    <mergeCell ref="B294:F294"/>
    <mergeCell ref="A257:G257"/>
    <mergeCell ref="B258:G258"/>
    <mergeCell ref="A238:F238"/>
    <mergeCell ref="A234:F234"/>
    <mergeCell ref="A235:F235"/>
    <mergeCell ref="A236:F236"/>
    <mergeCell ref="A237:F237"/>
    <mergeCell ref="A242:G242"/>
    <mergeCell ref="A256:F256"/>
    <mergeCell ref="A250:F250"/>
    <mergeCell ref="A222:F222"/>
    <mergeCell ref="B292:G292"/>
    <mergeCell ref="A224:F224"/>
    <mergeCell ref="A272:F272"/>
    <mergeCell ref="A273:F273"/>
    <mergeCell ref="A276:G276"/>
    <mergeCell ref="A266:F266"/>
    <mergeCell ref="A226:F226"/>
    <mergeCell ref="A227:G227"/>
    <mergeCell ref="A252:F252"/>
    <mergeCell ref="A228:G228"/>
    <mergeCell ref="A364:F364"/>
    <mergeCell ref="A302:F302"/>
    <mergeCell ref="A303:F303"/>
    <mergeCell ref="A304:F304"/>
    <mergeCell ref="A305:F305"/>
    <mergeCell ref="A283:F283"/>
    <mergeCell ref="A284:F284"/>
    <mergeCell ref="A340:G340"/>
    <mergeCell ref="A335:F335"/>
    <mergeCell ref="A307:F307"/>
    <mergeCell ref="A308:G308"/>
    <mergeCell ref="A346:F346"/>
    <mergeCell ref="A355:G355"/>
    <mergeCell ref="A349:F349"/>
    <mergeCell ref="A315:F315"/>
    <mergeCell ref="A350:F350"/>
    <mergeCell ref="A179:F179"/>
    <mergeCell ref="A180:G180"/>
    <mergeCell ref="A213:G213"/>
    <mergeCell ref="A209:F209"/>
    <mergeCell ref="A210:F210"/>
    <mergeCell ref="A211:F211"/>
    <mergeCell ref="A204:F204"/>
    <mergeCell ref="A205:F205"/>
    <mergeCell ref="A206:F206"/>
    <mergeCell ref="A207:F207"/>
    <mergeCell ref="A309:G309"/>
    <mergeCell ref="A306:F306"/>
    <mergeCell ref="A322:F322"/>
    <mergeCell ref="B275:G275"/>
    <mergeCell ref="A316:F316"/>
    <mergeCell ref="A293:G293"/>
    <mergeCell ref="A317:F317"/>
    <mergeCell ref="A318:F318"/>
    <mergeCell ref="A320:F320"/>
    <mergeCell ref="A319:F319"/>
    <mergeCell ref="A478:F478"/>
    <mergeCell ref="A479:F479"/>
    <mergeCell ref="A480:F480"/>
    <mergeCell ref="A659:F659"/>
    <mergeCell ref="A332:F332"/>
    <mergeCell ref="A333:F333"/>
    <mergeCell ref="A497:F497"/>
    <mergeCell ref="A365:F365"/>
    <mergeCell ref="A366:F366"/>
    <mergeCell ref="A360:F360"/>
    <mergeCell ref="A962:F962"/>
    <mergeCell ref="B487:G487"/>
    <mergeCell ref="A950:F950"/>
    <mergeCell ref="A954:G954"/>
    <mergeCell ref="A488:G488"/>
    <mergeCell ref="A495:F495"/>
    <mergeCell ref="A496:F496"/>
    <mergeCell ref="A953:G953"/>
    <mergeCell ref="A948:F948"/>
    <mergeCell ref="A952:F952"/>
    <mergeCell ref="A460:G460"/>
    <mergeCell ref="A481:F481"/>
    <mergeCell ref="A482:F482"/>
    <mergeCell ref="A483:F483"/>
    <mergeCell ref="A605:G605"/>
    <mergeCell ref="A945:F945"/>
    <mergeCell ref="A522:G522"/>
    <mergeCell ref="B504:G504"/>
    <mergeCell ref="B539:D539"/>
    <mergeCell ref="A639:F639"/>
    <mergeCell ref="A484:F484"/>
    <mergeCell ref="A834:G834"/>
    <mergeCell ref="A949:F949"/>
    <mergeCell ref="A877:F877"/>
    <mergeCell ref="A660:F660"/>
    <mergeCell ref="A661:F661"/>
    <mergeCell ref="A498:F498"/>
    <mergeCell ref="A485:F485"/>
    <mergeCell ref="A486:G486"/>
    <mergeCell ref="A534:F534"/>
    <mergeCell ref="A947:F947"/>
    <mergeCell ref="A932:F932"/>
    <mergeCell ref="A933:F933"/>
    <mergeCell ref="A712:G712"/>
    <mergeCell ref="A731:G731"/>
    <mergeCell ref="A805:F805"/>
    <mergeCell ref="A816:G816"/>
    <mergeCell ref="A796:G796"/>
    <mergeCell ref="A946:F946"/>
    <mergeCell ref="A843:F843"/>
    <mergeCell ref="A644:F644"/>
    <mergeCell ref="A657:F657"/>
    <mergeCell ref="A704:F704"/>
    <mergeCell ref="A686:F686"/>
    <mergeCell ref="A670:F670"/>
    <mergeCell ref="A555:G555"/>
    <mergeCell ref="A638:F638"/>
    <mergeCell ref="A531:F531"/>
    <mergeCell ref="A642:F642"/>
    <mergeCell ref="A643:F643"/>
    <mergeCell ref="A662:F662"/>
    <mergeCell ref="A603:F603"/>
    <mergeCell ref="A604:F604"/>
    <mergeCell ref="A637:F637"/>
    <mergeCell ref="A641:F641"/>
    <mergeCell ref="A655:F655"/>
    <mergeCell ref="A533:F533"/>
    <mergeCell ref="B971:G971"/>
    <mergeCell ref="A536:F536"/>
    <mergeCell ref="A537:F537"/>
    <mergeCell ref="A538:G538"/>
    <mergeCell ref="A607:G607"/>
    <mergeCell ref="A656:F656"/>
    <mergeCell ref="A876:F876"/>
    <mergeCell ref="A705:F705"/>
    <mergeCell ref="A706:F706"/>
    <mergeCell ref="A707:F707"/>
    <mergeCell ref="A1767:F1767"/>
    <mergeCell ref="A1768:F1768"/>
    <mergeCell ref="B663:G663"/>
    <mergeCell ref="A664:G664"/>
    <mergeCell ref="A675:F675"/>
    <mergeCell ref="A787:F787"/>
    <mergeCell ref="A685:F685"/>
    <mergeCell ref="A899:G899"/>
    <mergeCell ref="A968:F968"/>
    <mergeCell ref="A969:F969"/>
    <mergeCell ref="A1562:F1562"/>
    <mergeCell ref="A1844:F1844"/>
    <mergeCell ref="A1772:F1772"/>
    <mergeCell ref="A1773:F1773"/>
    <mergeCell ref="A1774:F1774"/>
    <mergeCell ref="B1775:G1775"/>
    <mergeCell ref="A1778:G1778"/>
    <mergeCell ref="A1831:F1831"/>
    <mergeCell ref="A1832:F1832"/>
    <mergeCell ref="A1826:F1826"/>
    <mergeCell ref="A1833:F1833"/>
    <mergeCell ref="A1991:F1991"/>
    <mergeCell ref="A1488:F1488"/>
    <mergeCell ref="A1489:G1489"/>
    <mergeCell ref="A1739:F1739"/>
    <mergeCell ref="A1740:G1740"/>
    <mergeCell ref="A1582:F1582"/>
    <mergeCell ref="A1583:F1583"/>
    <mergeCell ref="A1738:F1738"/>
    <mergeCell ref="A1736:F1736"/>
    <mergeCell ref="A1883:F1883"/>
    <mergeCell ref="A1994:F1994"/>
    <mergeCell ref="A1995:F1995"/>
    <mergeCell ref="A1845:F1845"/>
    <mergeCell ref="A1846:F1846"/>
    <mergeCell ref="A1847:F1847"/>
    <mergeCell ref="A1848:F1848"/>
    <mergeCell ref="A1849:F1849"/>
    <mergeCell ref="A1850:F1850"/>
    <mergeCell ref="A1989:F1989"/>
    <mergeCell ref="A1990:F1990"/>
    <mergeCell ref="A2201:F2201"/>
    <mergeCell ref="A972:G972"/>
    <mergeCell ref="A1993:F1993"/>
    <mergeCell ref="A1769:F1769"/>
    <mergeCell ref="A1770:F1770"/>
    <mergeCell ref="A1771:F1771"/>
    <mergeCell ref="A1485:F1485"/>
    <mergeCell ref="A1867:F1867"/>
    <mergeCell ref="B1870:G1870"/>
    <mergeCell ref="A1882:F1882"/>
    <mergeCell ref="A2186:F2186"/>
    <mergeCell ref="A951:F951"/>
    <mergeCell ref="A1486:F1486"/>
    <mergeCell ref="A2239:F2239"/>
    <mergeCell ref="A2077:G2077"/>
    <mergeCell ref="A2078:G2078"/>
    <mergeCell ref="A2226:F2226"/>
    <mergeCell ref="A2236:F2236"/>
    <mergeCell ref="A2225:F2225"/>
    <mergeCell ref="A2730:F2730"/>
    <mergeCell ref="A2189:G2189"/>
    <mergeCell ref="A2181:F2181"/>
    <mergeCell ref="B2244:G2244"/>
    <mergeCell ref="A2219:F2219"/>
    <mergeCell ref="A2320:G2320"/>
    <mergeCell ref="A2316:F2316"/>
    <mergeCell ref="A2240:F2240"/>
    <mergeCell ref="A2733:F2733"/>
    <mergeCell ref="A2315:F2315"/>
    <mergeCell ref="A2732:F2732"/>
    <mergeCell ref="A2422:F2422"/>
    <mergeCell ref="A2423:F2423"/>
    <mergeCell ref="A2185:F2185"/>
    <mergeCell ref="A2277:F2277"/>
    <mergeCell ref="A2238:F2238"/>
    <mergeCell ref="A2241:F2241"/>
    <mergeCell ref="A2317:F2317"/>
    <mergeCell ref="A2311:F2311"/>
    <mergeCell ref="A2312:F2312"/>
    <mergeCell ref="A2313:F2313"/>
    <mergeCell ref="A2314:F2314"/>
    <mergeCell ref="A2202:F2202"/>
    <mergeCell ref="A2237:F2237"/>
    <mergeCell ref="A2223:F2223"/>
    <mergeCell ref="A2203:F2203"/>
    <mergeCell ref="A2205:F2205"/>
    <mergeCell ref="B606:G606"/>
    <mergeCell ref="B521:G521"/>
    <mergeCell ref="A532:F532"/>
    <mergeCell ref="B523:G523"/>
    <mergeCell ref="A524:G524"/>
    <mergeCell ref="A535:F535"/>
    <mergeCell ref="A547:F547"/>
    <mergeCell ref="A548:F548"/>
    <mergeCell ref="A564:F564"/>
    <mergeCell ref="A530:F530"/>
    <mergeCell ref="A629:F629"/>
    <mergeCell ref="A627:F627"/>
    <mergeCell ref="A628:F628"/>
    <mergeCell ref="A624:F624"/>
    <mergeCell ref="A597:F597"/>
    <mergeCell ref="A598:F598"/>
    <mergeCell ref="A599:F599"/>
    <mergeCell ref="A600:F600"/>
    <mergeCell ref="A601:F601"/>
    <mergeCell ref="A602:F602"/>
    <mergeCell ref="A625:F625"/>
    <mergeCell ref="A626:F626"/>
    <mergeCell ref="A640:F640"/>
    <mergeCell ref="A2224:F2224"/>
    <mergeCell ref="A2187:F2187"/>
    <mergeCell ref="A2088:F2088"/>
    <mergeCell ref="A2106:F2106"/>
    <mergeCell ref="A2107:F2107"/>
    <mergeCell ref="A2204:F2204"/>
    <mergeCell ref="A673:F673"/>
    <mergeCell ref="B645:G645"/>
    <mergeCell ref="A687:F687"/>
    <mergeCell ref="A688:F688"/>
    <mergeCell ref="A689:F689"/>
    <mergeCell ref="A690:F690"/>
    <mergeCell ref="A691:F691"/>
    <mergeCell ref="A658:F658"/>
    <mergeCell ref="A671:F671"/>
    <mergeCell ref="A672:F672"/>
    <mergeCell ref="A2018:G2018"/>
    <mergeCell ref="A2029:F2029"/>
    <mergeCell ref="A2030:F2030"/>
    <mergeCell ref="A2031:F2031"/>
    <mergeCell ref="A2734:F2734"/>
    <mergeCell ref="A2735:F2735"/>
    <mergeCell ref="A2127:F2127"/>
    <mergeCell ref="A2148:F2148"/>
    <mergeCell ref="A2302:G2302"/>
    <mergeCell ref="A2146:F2146"/>
    <mergeCell ref="A623:F623"/>
    <mergeCell ref="A703:F703"/>
    <mergeCell ref="A2206:F2206"/>
    <mergeCell ref="A2737:F2737"/>
    <mergeCell ref="A674:F674"/>
    <mergeCell ref="A773:F773"/>
    <mergeCell ref="A630:F630"/>
    <mergeCell ref="A631:G631"/>
    <mergeCell ref="A2221:F2221"/>
    <mergeCell ref="A2222:F2222"/>
    <mergeCell ref="A2035:F2035"/>
    <mergeCell ref="A2036:F2036"/>
    <mergeCell ref="A2037:G2037"/>
    <mergeCell ref="A2038:G2038"/>
    <mergeCell ref="A2072:F2072"/>
    <mergeCell ref="A2188:F2188"/>
    <mergeCell ref="A2074:F2074"/>
    <mergeCell ref="A2076:F2076"/>
    <mergeCell ref="A2075:F2075"/>
    <mergeCell ref="A2053:F2053"/>
    <mergeCell ref="A2740:G2740"/>
    <mergeCell ref="A2069:F2069"/>
    <mergeCell ref="A2070:F2070"/>
    <mergeCell ref="A2190:G2190"/>
    <mergeCell ref="A2432:G2432"/>
    <mergeCell ref="A2132:F2132"/>
    <mergeCell ref="A2073:F2073"/>
    <mergeCell ref="A2738:G2738"/>
    <mergeCell ref="A2736:F2736"/>
    <mergeCell ref="A2147:F2147"/>
    <mergeCell ref="A1992:F1992"/>
    <mergeCell ref="A1997:G1997"/>
    <mergeCell ref="A1998:G1998"/>
    <mergeCell ref="A2011:F2011"/>
    <mergeCell ref="A2033:F2033"/>
    <mergeCell ref="A2034:F2034"/>
    <mergeCell ref="A2032:F2032"/>
    <mergeCell ref="A1996:F1996"/>
    <mergeCell ref="A2013:F2013"/>
    <mergeCell ref="A2017:G2017"/>
    <mergeCell ref="B2739:G2739"/>
    <mergeCell ref="A2015:F2015"/>
    <mergeCell ref="A2016:F2016"/>
    <mergeCell ref="A2113:F2113"/>
    <mergeCell ref="A2071:F2071"/>
    <mergeCell ref="A2207:G2207"/>
    <mergeCell ref="A2242:F2242"/>
    <mergeCell ref="A2243:F2243"/>
    <mergeCell ref="A2257:F2257"/>
    <mergeCell ref="A2258:F2258"/>
    <mergeCell ref="A2318:F2318"/>
    <mergeCell ref="A2149:F2149"/>
    <mergeCell ref="A2150:F2150"/>
    <mergeCell ref="A2151:F2151"/>
    <mergeCell ref="A2265:G2265"/>
    <mergeCell ref="A2167:F2167"/>
    <mergeCell ref="A2183:F2183"/>
    <mergeCell ref="A2245:G2245"/>
    <mergeCell ref="B2227:G2227"/>
    <mergeCell ref="A2220:F2220"/>
    <mergeCell ref="A2428:F2428"/>
    <mergeCell ref="A2152:F2152"/>
    <mergeCell ref="A2108:F2108"/>
    <mergeCell ref="A2097:G2097"/>
    <mergeCell ref="A2096:G2096"/>
    <mergeCell ref="A2014:F2014"/>
    <mergeCell ref="A2114:G2114"/>
    <mergeCell ref="A2115:G2115"/>
    <mergeCell ref="A2052:F2052"/>
    <mergeCell ref="A2276:F2276"/>
    <mergeCell ref="A2468:F2468"/>
    <mergeCell ref="A2445:F2445"/>
    <mergeCell ref="A2049:F2049"/>
    <mergeCell ref="A2050:F2050"/>
    <mergeCell ref="A2051:F2051"/>
    <mergeCell ref="A2731:F2731"/>
    <mergeCell ref="A2128:F2128"/>
    <mergeCell ref="A2129:F2129"/>
    <mergeCell ref="A2130:F2130"/>
    <mergeCell ref="A2131:F2131"/>
    <mergeCell ref="A2447:F2447"/>
    <mergeCell ref="A2448:F2448"/>
    <mergeCell ref="A2012:F2012"/>
    <mergeCell ref="A2153:F2153"/>
    <mergeCell ref="A2092:F2092"/>
    <mergeCell ref="A2093:F2093"/>
    <mergeCell ref="A2094:F2094"/>
    <mergeCell ref="A2126:F2126"/>
    <mergeCell ref="A2444:F2444"/>
    <mergeCell ref="A2413:F2413"/>
    <mergeCell ref="A2522:G2522"/>
    <mergeCell ref="A2451:F2451"/>
    <mergeCell ref="A2502:F2502"/>
    <mergeCell ref="A2499:F2499"/>
    <mergeCell ref="A2500:F2500"/>
    <mergeCell ref="A2461:F2461"/>
    <mergeCell ref="A2465:F2465"/>
    <mergeCell ref="A2466:F2466"/>
    <mergeCell ref="A2496:F2496"/>
    <mergeCell ref="A2497:F2497"/>
    <mergeCell ref="A1862:F1862"/>
    <mergeCell ref="A1863:F1863"/>
    <mergeCell ref="A1864:F1864"/>
    <mergeCell ref="A1865:F1865"/>
    <mergeCell ref="A1866:F1866"/>
    <mergeCell ref="A2549:F2549"/>
    <mergeCell ref="A1868:F1868"/>
    <mergeCell ref="A1869:F1869"/>
    <mergeCell ref="A2503:F2503"/>
    <mergeCell ref="A2504:G2504"/>
    <mergeCell ref="A2599:F2599"/>
    <mergeCell ref="A2600:F2600"/>
    <mergeCell ref="A2554:F2554"/>
    <mergeCell ref="A2536:F2536"/>
    <mergeCell ref="A2537:F2537"/>
    <mergeCell ref="A2449:F2449"/>
    <mergeCell ref="A2452:G2452"/>
    <mergeCell ref="A2550:F2550"/>
    <mergeCell ref="A2551:F2551"/>
    <mergeCell ref="A2552:F2552"/>
    <mergeCell ref="A1871:G1871"/>
    <mergeCell ref="A2055:F2055"/>
    <mergeCell ref="A2056:G2056"/>
    <mergeCell ref="B2057:G2057"/>
    <mergeCell ref="A2058:G2058"/>
    <mergeCell ref="A2467:F2467"/>
    <mergeCell ref="A2450:F2450"/>
    <mergeCell ref="A2133:F2133"/>
    <mergeCell ref="A2134:G2134"/>
    <mergeCell ref="A2135:G2135"/>
    <mergeCell ref="A1880:F1880"/>
    <mergeCell ref="A1881:F1881"/>
    <mergeCell ref="A2632:F2632"/>
    <mergeCell ref="A2618:F2618"/>
    <mergeCell ref="A2619:F2619"/>
    <mergeCell ref="A2620:F2620"/>
    <mergeCell ref="A2533:F2533"/>
    <mergeCell ref="A2583:F2583"/>
    <mergeCell ref="A2584:F2584"/>
    <mergeCell ref="A2555:G2555"/>
    <mergeCell ref="A2615:F2615"/>
    <mergeCell ref="A2616:F2616"/>
    <mergeCell ref="A2617:F2617"/>
    <mergeCell ref="A2462:F2462"/>
    <mergeCell ref="A2463:F2463"/>
    <mergeCell ref="A2464:F2464"/>
    <mergeCell ref="A2605:F2605"/>
    <mergeCell ref="A2589:G2589"/>
    <mergeCell ref="A2590:G2590"/>
    <mergeCell ref="A2598:F2598"/>
    <mergeCell ref="A2588:F2588"/>
    <mergeCell ref="A2553:F2553"/>
    <mergeCell ref="A2505:G2505"/>
    <mergeCell ref="A2538:G2538"/>
    <mergeCell ref="A2519:F2519"/>
    <mergeCell ref="A2568:F2568"/>
    <mergeCell ref="A2563:F2563"/>
    <mergeCell ref="A2564:F2564"/>
    <mergeCell ref="A2565:F2565"/>
    <mergeCell ref="A2520:F2520"/>
    <mergeCell ref="A2657:F2657"/>
    <mergeCell ref="A2640:G2640"/>
    <mergeCell ref="B2641:G2641"/>
    <mergeCell ref="A2642:G2642"/>
    <mergeCell ref="A2654:F2654"/>
    <mergeCell ref="A2621:F2621"/>
    <mergeCell ref="A2622:F2622"/>
    <mergeCell ref="A2623:G2623"/>
    <mergeCell ref="A2655:F2655"/>
    <mergeCell ref="A2656:F2656"/>
    <mergeCell ref="A2634:F2634"/>
    <mergeCell ref="A2635:F2635"/>
    <mergeCell ref="A2636:F2636"/>
    <mergeCell ref="A2581:F2581"/>
    <mergeCell ref="A2582:F2582"/>
    <mergeCell ref="A2601:F2601"/>
    <mergeCell ref="A2603:F2603"/>
    <mergeCell ref="A2604:F2604"/>
    <mergeCell ref="A2633:F2633"/>
    <mergeCell ref="A2587:F2587"/>
    <mergeCell ref="A2547:F2547"/>
    <mergeCell ref="A2548:F2548"/>
    <mergeCell ref="A1884:F1884"/>
    <mergeCell ref="A1885:F1885"/>
    <mergeCell ref="A1908:G1908"/>
    <mergeCell ref="A1977:G1977"/>
    <mergeCell ref="A1945:G1945"/>
    <mergeCell ref="A1946:G1946"/>
    <mergeCell ref="A1937:F1937"/>
    <mergeCell ref="A2521:G2521"/>
    <mergeCell ref="A2712:F2712"/>
    <mergeCell ref="A2713:F2713"/>
    <mergeCell ref="A2714:F2714"/>
    <mergeCell ref="A2701:F2701"/>
    <mergeCell ref="A2694:F2694"/>
    <mergeCell ref="A2695:F2695"/>
    <mergeCell ref="A2696:F2696"/>
    <mergeCell ref="A2660:F2660"/>
    <mergeCell ref="A2661:F2661"/>
    <mergeCell ref="A2662:G2662"/>
    <mergeCell ref="A2698:F2698"/>
    <mergeCell ref="A2699:F2699"/>
    <mergeCell ref="A2700:F2700"/>
    <mergeCell ref="A1887:F1887"/>
    <mergeCell ref="A1888:G1888"/>
    <mergeCell ref="A1918:F1918"/>
    <mergeCell ref="A1919:F1919"/>
    <mergeCell ref="A1943:F1943"/>
    <mergeCell ref="A1927:G1927"/>
    <mergeCell ref="A1942:F1942"/>
    <mergeCell ref="A1938:F1938"/>
    <mergeCell ref="A1925:F1925"/>
    <mergeCell ref="A1900:F1900"/>
    <mergeCell ref="A2716:F2716"/>
    <mergeCell ref="A2680:F2680"/>
    <mergeCell ref="A2349:F2349"/>
    <mergeCell ref="A2410:F2410"/>
    <mergeCell ref="A2679:F2679"/>
    <mergeCell ref="A2697:F2697"/>
    <mergeCell ref="A2715:F2715"/>
    <mergeCell ref="A2677:F2677"/>
    <mergeCell ref="A2658:F2658"/>
    <mergeCell ref="A2659:F2659"/>
    <mergeCell ref="A2300:F2300"/>
    <mergeCell ref="A2278:F2278"/>
    <mergeCell ref="A1957:F1957"/>
    <mergeCell ref="A1958:F1958"/>
    <mergeCell ref="A1953:F1953"/>
    <mergeCell ref="A1954:F1954"/>
    <mergeCell ref="A1955:F1955"/>
    <mergeCell ref="A1970:F1970"/>
    <mergeCell ref="A2263:F2263"/>
    <mergeCell ref="A2264:F2264"/>
    <mergeCell ref="A2485:F2485"/>
    <mergeCell ref="A2566:F2566"/>
    <mergeCell ref="A1920:F1920"/>
    <mergeCell ref="A1921:F1921"/>
    <mergeCell ref="A1922:F1922"/>
    <mergeCell ref="A1923:F1923"/>
    <mergeCell ref="A1924:F1924"/>
    <mergeCell ref="A2348:F2348"/>
    <mergeCell ref="A2337:F2337"/>
    <mergeCell ref="A2299:F2299"/>
    <mergeCell ref="A2487:G2487"/>
    <mergeCell ref="A2429:F2429"/>
    <mergeCell ref="A2681:G2681"/>
    <mergeCell ref="A2482:F2482"/>
    <mergeCell ref="A2606:G2606"/>
    <mergeCell ref="A2532:F2532"/>
    <mergeCell ref="A2607:G2607"/>
    <mergeCell ref="A2534:F2534"/>
    <mergeCell ref="A2585:F2585"/>
    <mergeCell ref="A2586:F2586"/>
    <mergeCell ref="A2481:F2481"/>
    <mergeCell ref="A2483:F2483"/>
    <mergeCell ref="A2365:F2365"/>
    <mergeCell ref="A2637:F2637"/>
    <mergeCell ref="A2638:F2638"/>
    <mergeCell ref="A2639:F2639"/>
    <mergeCell ref="A2406:F2406"/>
    <mergeCell ref="A2407:F2407"/>
    <mergeCell ref="A2408:F2408"/>
    <mergeCell ref="A2409:F2409"/>
    <mergeCell ref="A2412:F2412"/>
    <mergeCell ref="A2426:F2426"/>
    <mergeCell ref="A2469:G2469"/>
    <mergeCell ref="A2517:F2517"/>
    <mergeCell ref="A2501:F2501"/>
    <mergeCell ref="A2513:F2513"/>
    <mergeCell ref="A2514:F2514"/>
    <mergeCell ref="A2515:F2515"/>
    <mergeCell ref="A2478:F2478"/>
    <mergeCell ref="A2498:F2498"/>
    <mergeCell ref="A2281:F2281"/>
    <mergeCell ref="A2470:G2470"/>
    <mergeCell ref="A2453:G2453"/>
    <mergeCell ref="A2446:F2446"/>
    <mergeCell ref="A2366:F2366"/>
    <mergeCell ref="A2319:G2319"/>
    <mergeCell ref="A2424:F2424"/>
    <mergeCell ref="A2390:F2390"/>
    <mergeCell ref="A2334:F2334"/>
    <mergeCell ref="A2335:F2335"/>
    <mergeCell ref="A2259:F2259"/>
    <mergeCell ref="A2260:F2260"/>
    <mergeCell ref="A2261:F2261"/>
    <mergeCell ref="A2262:F2262"/>
    <mergeCell ref="A2279:F2279"/>
    <mergeCell ref="A2280:F2280"/>
    <mergeCell ref="A2338:G2338"/>
    <mergeCell ref="A2339:G2339"/>
    <mergeCell ref="A2387:F2387"/>
    <mergeCell ref="A2354:F2354"/>
    <mergeCell ref="A2355:F2355"/>
    <mergeCell ref="A2356:G2356"/>
    <mergeCell ref="A2372:F2372"/>
    <mergeCell ref="A2336:F2336"/>
    <mergeCell ref="A2199:F2199"/>
    <mergeCell ref="A2200:F2200"/>
    <mergeCell ref="A2750:F2750"/>
    <mergeCell ref="A2350:F2350"/>
    <mergeCell ref="A2351:F2351"/>
    <mergeCell ref="A2352:F2352"/>
    <mergeCell ref="A2353:F2353"/>
    <mergeCell ref="A2391:G2391"/>
    <mergeCell ref="A2392:G2392"/>
    <mergeCell ref="A2172:G2172"/>
    <mergeCell ref="A1959:F1959"/>
    <mergeCell ref="A1960:F1960"/>
    <mergeCell ref="A1961:G1961"/>
    <mergeCell ref="A1962:G1962"/>
    <mergeCell ref="A1944:F1944"/>
    <mergeCell ref="A1975:F1975"/>
    <mergeCell ref="A1976:F1976"/>
    <mergeCell ref="A1969:F1969"/>
    <mergeCell ref="A1971:F1971"/>
    <mergeCell ref="A1852:G1852"/>
    <mergeCell ref="A1906:F1906"/>
    <mergeCell ref="A1907:F1907"/>
    <mergeCell ref="A1926:G1926"/>
    <mergeCell ref="A1956:F1956"/>
    <mergeCell ref="A1939:F1939"/>
    <mergeCell ref="A1901:F1901"/>
    <mergeCell ref="A1902:F1902"/>
    <mergeCell ref="A1940:F1940"/>
    <mergeCell ref="A1886:F1886"/>
    <mergeCell ref="A1941:F1941"/>
    <mergeCell ref="A2170:F2170"/>
    <mergeCell ref="A2171:G2171"/>
    <mergeCell ref="A2163:F2163"/>
    <mergeCell ref="A2164:F2164"/>
    <mergeCell ref="A2165:F2165"/>
    <mergeCell ref="A2166:F2166"/>
    <mergeCell ref="A1972:F1972"/>
    <mergeCell ref="A1973:F1973"/>
    <mergeCell ref="A1974:F1974"/>
    <mergeCell ref="A2110:F2110"/>
    <mergeCell ref="A2169:F2169"/>
    <mergeCell ref="A2111:F2111"/>
    <mergeCell ref="A2154:G2154"/>
    <mergeCell ref="A2112:F2112"/>
    <mergeCell ref="A2054:F2054"/>
    <mergeCell ref="A2095:F2095"/>
    <mergeCell ref="A2168:F2168"/>
    <mergeCell ref="A2182:F2182"/>
    <mergeCell ref="A1776:G1776"/>
    <mergeCell ref="A2009:F2009"/>
    <mergeCell ref="A2010:F2010"/>
    <mergeCell ref="A2048:F2048"/>
    <mergeCell ref="A2184:F2184"/>
    <mergeCell ref="A2089:F2089"/>
    <mergeCell ref="A2090:F2090"/>
    <mergeCell ref="A2091:F2091"/>
    <mergeCell ref="A2109:F2109"/>
    <mergeCell ref="A1605:F1605"/>
    <mergeCell ref="A1687:F1687"/>
    <mergeCell ref="A1688:F1688"/>
    <mergeCell ref="A1755:F1755"/>
    <mergeCell ref="A1756:G1756"/>
    <mergeCell ref="B1741:G1741"/>
    <mergeCell ref="A1737:F1737"/>
    <mergeCell ref="A1487:F1487"/>
    <mergeCell ref="A1732:F1732"/>
    <mergeCell ref="A1733:F1733"/>
    <mergeCell ref="A1734:F1734"/>
    <mergeCell ref="A1735:F1735"/>
    <mergeCell ref="B1777:G1777"/>
    <mergeCell ref="A1601:F1601"/>
    <mergeCell ref="A1602:F1602"/>
    <mergeCell ref="A1603:F1603"/>
    <mergeCell ref="A1604:F1604"/>
    <mergeCell ref="A1554:G1554"/>
    <mergeCell ref="A1481:F1481"/>
    <mergeCell ref="A1482:F1482"/>
    <mergeCell ref="A1483:F1483"/>
    <mergeCell ref="A1484:F1484"/>
    <mergeCell ref="A1606:F1606"/>
    <mergeCell ref="A1584:F1584"/>
    <mergeCell ref="A1496:F1496"/>
    <mergeCell ref="A1497:F1497"/>
    <mergeCell ref="A1581:F1581"/>
    <mergeCell ref="A1427:F1427"/>
    <mergeCell ref="A1498:F1498"/>
    <mergeCell ref="A1532:F1532"/>
    <mergeCell ref="A1569:F1569"/>
    <mergeCell ref="A1563:F1563"/>
    <mergeCell ref="A1564:F1564"/>
    <mergeCell ref="A1565:F1565"/>
    <mergeCell ref="A1568:F1568"/>
    <mergeCell ref="A1552:F1552"/>
    <mergeCell ref="A1553:F1553"/>
    <mergeCell ref="A1753:F1753"/>
    <mergeCell ref="A1379:F1379"/>
    <mergeCell ref="A1363:F1363"/>
    <mergeCell ref="A1364:F1364"/>
    <mergeCell ref="A1499:F1499"/>
    <mergeCell ref="A1500:F1500"/>
    <mergeCell ref="A1501:F1501"/>
    <mergeCell ref="A1450:F1450"/>
    <mergeCell ref="A1451:F1451"/>
    <mergeCell ref="A1426:F1426"/>
    <mergeCell ref="A1742:G1742"/>
    <mergeCell ref="A1401:F1401"/>
    <mergeCell ref="A1398:F1398"/>
    <mergeCell ref="B1757:G1757"/>
    <mergeCell ref="A1619:F1619"/>
    <mergeCell ref="A1620:F1620"/>
    <mergeCell ref="A1749:F1749"/>
    <mergeCell ref="A1750:F1750"/>
    <mergeCell ref="A1751:F1751"/>
    <mergeCell ref="A1567:F1567"/>
    <mergeCell ref="A1632:F1632"/>
    <mergeCell ref="A1673:G1673"/>
    <mergeCell ref="A1748:F1748"/>
    <mergeCell ref="A1636:F1636"/>
    <mergeCell ref="B1656:G1656"/>
    <mergeCell ref="A1590:G1590"/>
    <mergeCell ref="B1743:G1743"/>
    <mergeCell ref="A1686:F1686"/>
    <mergeCell ref="A1608:F1608"/>
    <mergeCell ref="A1609:G1609"/>
    <mergeCell ref="A1454:G1454"/>
    <mergeCell ref="B1610:G1610"/>
    <mergeCell ref="A1627:G1627"/>
    <mergeCell ref="A1638:F1638"/>
    <mergeCell ref="A1626:F1626"/>
    <mergeCell ref="A1611:G1611"/>
    <mergeCell ref="A1621:F1621"/>
    <mergeCell ref="A1623:F1623"/>
    <mergeCell ref="A1624:F1624"/>
    <mergeCell ref="A1625:F1625"/>
    <mergeCell ref="A1580:F1580"/>
    <mergeCell ref="A1522:G1522"/>
    <mergeCell ref="B1555:G1555"/>
    <mergeCell ref="A1521:G1521"/>
    <mergeCell ref="A1535:F1535"/>
    <mergeCell ref="A1437:G1437"/>
    <mergeCell ref="B1472:G1472"/>
    <mergeCell ref="A1503:F1503"/>
    <mergeCell ref="A1504:G1504"/>
    <mergeCell ref="A1505:G1505"/>
    <mergeCell ref="A1607:F1607"/>
    <mergeCell ref="A1585:F1585"/>
    <mergeCell ref="A1433:F1433"/>
    <mergeCell ref="A1556:G1556"/>
    <mergeCell ref="A1550:F1550"/>
    <mergeCell ref="A1502:F1502"/>
    <mergeCell ref="A1586:F1586"/>
    <mergeCell ref="A1587:F1587"/>
    <mergeCell ref="A1588:G1588"/>
    <mergeCell ref="B1589:G1589"/>
    <mergeCell ref="A1432:F1432"/>
    <mergeCell ref="A1411:F1411"/>
    <mergeCell ref="A1412:F1412"/>
    <mergeCell ref="A1413:F1413"/>
    <mergeCell ref="B1571:G1571"/>
    <mergeCell ref="A1572:G1572"/>
    <mergeCell ref="A1448:F1448"/>
    <mergeCell ref="A1449:F1449"/>
    <mergeCell ref="A1452:F1452"/>
    <mergeCell ref="A1453:F1453"/>
    <mergeCell ref="A1431:F1431"/>
    <mergeCell ref="A1402:G1402"/>
    <mergeCell ref="A1430:F1430"/>
    <mergeCell ref="A1414:F1414"/>
    <mergeCell ref="A1416:F1416"/>
    <mergeCell ref="B1435:G1435"/>
    <mergeCell ref="B1419:G1419"/>
    <mergeCell ref="A1420:G1420"/>
    <mergeCell ref="A1428:F1428"/>
    <mergeCell ref="A1429:F1429"/>
    <mergeCell ref="A1637:F1637"/>
    <mergeCell ref="A1332:G1332"/>
    <mergeCell ref="A1333:G1333"/>
    <mergeCell ref="A1345:F1345"/>
    <mergeCell ref="A1346:F1346"/>
    <mergeCell ref="A1434:G1434"/>
    <mergeCell ref="A1397:F1397"/>
    <mergeCell ref="A1400:F1400"/>
    <mergeCell ref="A1417:F1417"/>
    <mergeCell ref="A1418:G1418"/>
    <mergeCell ref="A1436:G1436"/>
    <mergeCell ref="A1566:F1566"/>
    <mergeCell ref="A1622:F1622"/>
    <mergeCell ref="A1639:F1639"/>
    <mergeCell ref="A1705:F1705"/>
    <mergeCell ref="A1706:F1706"/>
    <mergeCell ref="A1515:F1515"/>
    <mergeCell ref="A1516:F1516"/>
    <mergeCell ref="A1517:F1517"/>
    <mergeCell ref="A1518:F1518"/>
    <mergeCell ref="A1704:F1704"/>
    <mergeCell ref="A1719:F1719"/>
    <mergeCell ref="A1667:F1667"/>
    <mergeCell ref="A1668:F1668"/>
    <mergeCell ref="A1683:F1683"/>
    <mergeCell ref="A1684:F1684"/>
    <mergeCell ref="A1703:F1703"/>
    <mergeCell ref="A1570:G1570"/>
    <mergeCell ref="A1519:F1519"/>
    <mergeCell ref="A1655:G1655"/>
    <mergeCell ref="A1635:F1635"/>
    <mergeCell ref="A1647:F1647"/>
    <mergeCell ref="A1650:F1650"/>
    <mergeCell ref="A1651:F1651"/>
    <mergeCell ref="A1652:F1652"/>
    <mergeCell ref="A1653:F1653"/>
    <mergeCell ref="A1681:F1681"/>
    <mergeCell ref="A1682:F1682"/>
    <mergeCell ref="A1520:F1520"/>
    <mergeCell ref="A1700:F1700"/>
    <mergeCell ref="A1701:F1701"/>
    <mergeCell ref="A1702:F1702"/>
    <mergeCell ref="A1654:F1654"/>
    <mergeCell ref="A1633:F1633"/>
    <mergeCell ref="A1634:F1634"/>
    <mergeCell ref="A1640:G1640"/>
    <mergeCell ref="A1649:F1649"/>
    <mergeCell ref="A1834:G1834"/>
    <mergeCell ref="A1709:G1709"/>
    <mergeCell ref="A1793:F1793"/>
    <mergeCell ref="B1795:G1795"/>
    <mergeCell ref="A1689:G1689"/>
    <mergeCell ref="A1827:F1827"/>
    <mergeCell ref="A1828:F1828"/>
    <mergeCell ref="A1691:G1691"/>
    <mergeCell ref="A1716:F1716"/>
    <mergeCell ref="A1829:F1829"/>
    <mergeCell ref="A1830:F1830"/>
    <mergeCell ref="A1708:G1708"/>
    <mergeCell ref="A1787:F1787"/>
    <mergeCell ref="A1717:F1717"/>
    <mergeCell ref="A1718:F1718"/>
    <mergeCell ref="A1720:F1720"/>
    <mergeCell ref="A1721:F1721"/>
    <mergeCell ref="A1725:G1725"/>
    <mergeCell ref="B1726:G1726"/>
    <mergeCell ref="A1754:F1754"/>
    <mergeCell ref="A1752:F1752"/>
    <mergeCell ref="A1415:F1415"/>
    <mergeCell ref="A1395:F1395"/>
    <mergeCell ref="A1396:F1396"/>
    <mergeCell ref="A1404:G1404"/>
    <mergeCell ref="A1410:F1410"/>
    <mergeCell ref="A1538:G1538"/>
    <mergeCell ref="A1528:F1528"/>
    <mergeCell ref="A1551:F1551"/>
    <mergeCell ref="B1385:G1385"/>
    <mergeCell ref="A1399:F1399"/>
    <mergeCell ref="A1386:G1386"/>
    <mergeCell ref="B1403:G1403"/>
    <mergeCell ref="A1394:F1394"/>
    <mergeCell ref="A1796:G1796"/>
    <mergeCell ref="A1469:F1469"/>
    <mergeCell ref="A1685:F1685"/>
    <mergeCell ref="A1791:F1791"/>
    <mergeCell ref="A1792:F1792"/>
    <mergeCell ref="A1380:F1380"/>
    <mergeCell ref="A1381:F1381"/>
    <mergeCell ref="A1382:F1382"/>
    <mergeCell ref="A1383:F1383"/>
    <mergeCell ref="A1384:F1384"/>
    <mergeCell ref="A1788:F1788"/>
    <mergeCell ref="A1666:F1666"/>
    <mergeCell ref="A1665:F1665"/>
    <mergeCell ref="A1536:G1536"/>
    <mergeCell ref="B1537:G1537"/>
    <mergeCell ref="A1789:F1789"/>
    <mergeCell ref="A1790:F1790"/>
    <mergeCell ref="A1671:F1671"/>
    <mergeCell ref="B1672:G1672"/>
    <mergeCell ref="A1723:F1723"/>
    <mergeCell ref="A1724:G1724"/>
    <mergeCell ref="B1690:G1690"/>
    <mergeCell ref="A1707:F1707"/>
    <mergeCell ref="A1722:F1722"/>
    <mergeCell ref="A1758:G1758"/>
    <mergeCell ref="A676:F676"/>
    <mergeCell ref="A677:F677"/>
    <mergeCell ref="A678:G678"/>
    <mergeCell ref="A679:G679"/>
    <mergeCell ref="A811:G811"/>
    <mergeCell ref="A812:G812"/>
    <mergeCell ref="A803:F803"/>
    <mergeCell ref="A804:F804"/>
    <mergeCell ref="A719:F719"/>
    <mergeCell ref="A738:F738"/>
    <mergeCell ref="A1670:F1670"/>
    <mergeCell ref="A1470:G1470"/>
    <mergeCell ref="A1471:G1471"/>
    <mergeCell ref="A1664:F1664"/>
    <mergeCell ref="A1463:F1463"/>
    <mergeCell ref="A1464:F1464"/>
    <mergeCell ref="A1465:F1465"/>
    <mergeCell ref="A1466:F1466"/>
    <mergeCell ref="A1514:F1514"/>
    <mergeCell ref="A1648:F1648"/>
    <mergeCell ref="A1546:F1546"/>
    <mergeCell ref="A1547:F1547"/>
    <mergeCell ref="A1513:F1513"/>
    <mergeCell ref="A1369:F1369"/>
    <mergeCell ref="A1370:G1370"/>
    <mergeCell ref="A898:F898"/>
    <mergeCell ref="A934:F934"/>
    <mergeCell ref="A1377:F1377"/>
    <mergeCell ref="A1378:F1378"/>
    <mergeCell ref="A1371:G1371"/>
    <mergeCell ref="A1529:F1529"/>
    <mergeCell ref="A1530:F1530"/>
    <mergeCell ref="A1531:F1531"/>
    <mergeCell ref="A1533:F1533"/>
    <mergeCell ref="A1534:F1534"/>
    <mergeCell ref="A693:G693"/>
    <mergeCell ref="B694:G694"/>
    <mergeCell ref="A695:G695"/>
    <mergeCell ref="A895:F895"/>
    <mergeCell ref="A896:F896"/>
    <mergeCell ref="A808:F808"/>
    <mergeCell ref="A809:F809"/>
    <mergeCell ref="A810:F810"/>
    <mergeCell ref="A893:F893"/>
    <mergeCell ref="A1462:F1462"/>
    <mergeCell ref="A1446:F1446"/>
    <mergeCell ref="A1447:F1447"/>
    <mergeCell ref="A980:F980"/>
    <mergeCell ref="A981:F981"/>
    <mergeCell ref="A882:G882"/>
    <mergeCell ref="A1242:F1242"/>
    <mergeCell ref="A1246:G1246"/>
    <mergeCell ref="A1367:F1367"/>
    <mergeCell ref="A1169:F1169"/>
    <mergeCell ref="A1189:F1189"/>
    <mergeCell ref="A1071:G1071"/>
    <mergeCell ref="A1083:F1083"/>
    <mergeCell ref="A1368:F1368"/>
    <mergeCell ref="A1329:F1329"/>
    <mergeCell ref="A1330:F1330"/>
    <mergeCell ref="A1349:F1349"/>
    <mergeCell ref="A1344:F1344"/>
    <mergeCell ref="A1362:F1362"/>
    <mergeCell ref="A1354:G1354"/>
    <mergeCell ref="A1365:F1365"/>
    <mergeCell ref="A1331:F1331"/>
    <mergeCell ref="A1347:F1347"/>
    <mergeCell ref="A988:G988"/>
    <mergeCell ref="A891:F891"/>
    <mergeCell ref="A892:F892"/>
    <mergeCell ref="A982:F982"/>
    <mergeCell ref="A983:F983"/>
    <mergeCell ref="A984:F984"/>
    <mergeCell ref="A985:F985"/>
    <mergeCell ref="A894:F894"/>
    <mergeCell ref="A897:F897"/>
    <mergeCell ref="A970:G970"/>
    <mergeCell ref="A911:F911"/>
    <mergeCell ref="A824:F824"/>
    <mergeCell ref="A825:F825"/>
    <mergeCell ref="A859:F859"/>
    <mergeCell ref="A879:F879"/>
    <mergeCell ref="A880:F880"/>
    <mergeCell ref="A860:F860"/>
    <mergeCell ref="A861:F861"/>
    <mergeCell ref="A878:F878"/>
    <mergeCell ref="A875:F875"/>
    <mergeCell ref="A692:F692"/>
    <mergeCell ref="A727:G727"/>
    <mergeCell ref="A772:F772"/>
    <mergeCell ref="A761:F761"/>
    <mergeCell ref="A755:F755"/>
    <mergeCell ref="A756:F756"/>
    <mergeCell ref="A757:F757"/>
    <mergeCell ref="A718:F718"/>
    <mergeCell ref="A709:F709"/>
    <mergeCell ref="A708:F708"/>
    <mergeCell ref="A720:F720"/>
    <mergeCell ref="A721:F721"/>
    <mergeCell ref="A722:F722"/>
    <mergeCell ref="A788:F788"/>
    <mergeCell ref="A723:F723"/>
    <mergeCell ref="A724:F724"/>
    <mergeCell ref="A725:G725"/>
    <mergeCell ref="B726:G726"/>
    <mergeCell ref="A737:F737"/>
    <mergeCell ref="A774:F774"/>
    <mergeCell ref="A742:F742"/>
    <mergeCell ref="A743:F743"/>
    <mergeCell ref="A744:F744"/>
    <mergeCell ref="A565:F565"/>
    <mergeCell ref="A566:F566"/>
    <mergeCell ref="A567:F567"/>
    <mergeCell ref="A568:F568"/>
    <mergeCell ref="A569:F569"/>
    <mergeCell ref="A583:F583"/>
    <mergeCell ref="A717:F717"/>
    <mergeCell ref="B556:G556"/>
    <mergeCell ref="A563:F563"/>
    <mergeCell ref="A580:F580"/>
    <mergeCell ref="A581:F581"/>
    <mergeCell ref="A582:F582"/>
    <mergeCell ref="A584:F584"/>
    <mergeCell ref="B572:G572"/>
    <mergeCell ref="A585:F585"/>
    <mergeCell ref="A855:F855"/>
    <mergeCell ref="A856:F856"/>
    <mergeCell ref="A857:F857"/>
    <mergeCell ref="A858:F858"/>
    <mergeCell ref="A588:G588"/>
    <mergeCell ref="B589:G589"/>
    <mergeCell ref="A762:G762"/>
    <mergeCell ref="B763:G763"/>
    <mergeCell ref="A710:F710"/>
    <mergeCell ref="A711:G711"/>
    <mergeCell ref="A806:F806"/>
    <mergeCell ref="A807:F807"/>
    <mergeCell ref="A829:G829"/>
    <mergeCell ref="A760:F760"/>
    <mergeCell ref="A754:F754"/>
    <mergeCell ref="A739:F739"/>
    <mergeCell ref="A740:F740"/>
    <mergeCell ref="A741:F741"/>
    <mergeCell ref="A747:G747"/>
    <mergeCell ref="A795:G795"/>
    <mergeCell ref="A764:G764"/>
    <mergeCell ref="A790:F790"/>
    <mergeCell ref="A791:F791"/>
    <mergeCell ref="A792:F792"/>
    <mergeCell ref="A775:F775"/>
    <mergeCell ref="A779:F779"/>
    <mergeCell ref="A780:G780"/>
    <mergeCell ref="A777:F777"/>
    <mergeCell ref="A758:F758"/>
    <mergeCell ref="A759:F759"/>
    <mergeCell ref="A863:G863"/>
    <mergeCell ref="A823:F823"/>
    <mergeCell ref="A778:F778"/>
    <mergeCell ref="A781:G781"/>
    <mergeCell ref="A776:F776"/>
    <mergeCell ref="A793:F793"/>
    <mergeCell ref="A789:F789"/>
    <mergeCell ref="A794:F794"/>
    <mergeCell ref="A862:F862"/>
    <mergeCell ref="A826:F826"/>
    <mergeCell ref="A827:F827"/>
    <mergeCell ref="A828:F828"/>
    <mergeCell ref="A848:G848"/>
    <mergeCell ref="A821:F821"/>
    <mergeCell ref="A822:F822"/>
    <mergeCell ref="A844:F844"/>
    <mergeCell ref="A1002:F1002"/>
    <mergeCell ref="A1003:F1003"/>
    <mergeCell ref="A929:F929"/>
    <mergeCell ref="A930:F930"/>
    <mergeCell ref="A931:F931"/>
    <mergeCell ref="A916:F916"/>
    <mergeCell ref="A963:F963"/>
    <mergeCell ref="A964:F964"/>
    <mergeCell ref="A965:F965"/>
    <mergeCell ref="A966:F966"/>
    <mergeCell ref="A915:F915"/>
    <mergeCell ref="B918:G918"/>
    <mergeCell ref="A881:G881"/>
    <mergeCell ref="B936:G936"/>
    <mergeCell ref="A937:G937"/>
    <mergeCell ref="A999:F999"/>
    <mergeCell ref="A900:G900"/>
    <mergeCell ref="A913:F913"/>
    <mergeCell ref="A909:F909"/>
    <mergeCell ref="A914:F914"/>
    <mergeCell ref="A549:F549"/>
    <mergeCell ref="A550:F550"/>
    <mergeCell ref="A551:F551"/>
    <mergeCell ref="A552:F552"/>
    <mergeCell ref="A553:F553"/>
    <mergeCell ref="A1243:F1243"/>
    <mergeCell ref="A1237:F1237"/>
    <mergeCell ref="A1238:F1238"/>
    <mergeCell ref="A1239:F1239"/>
    <mergeCell ref="A927:F927"/>
    <mergeCell ref="A1253:F1253"/>
    <mergeCell ref="A1244:F1244"/>
    <mergeCell ref="A1245:G1245"/>
    <mergeCell ref="A928:F928"/>
    <mergeCell ref="A967:F967"/>
    <mergeCell ref="A1023:G1023"/>
    <mergeCell ref="B1037:G1037"/>
    <mergeCell ref="A1048:F1048"/>
    <mergeCell ref="A1000:F1000"/>
    <mergeCell ref="A1001:F1001"/>
    <mergeCell ref="A554:F554"/>
    <mergeCell ref="A570:F570"/>
    <mergeCell ref="A571:G571"/>
    <mergeCell ref="A1017:F1017"/>
    <mergeCell ref="A1033:F1033"/>
    <mergeCell ref="A1034:F1034"/>
    <mergeCell ref="A1018:F1018"/>
    <mergeCell ref="A935:G935"/>
    <mergeCell ref="A874:F874"/>
    <mergeCell ref="A873:F873"/>
    <mergeCell ref="A1192:G1192"/>
    <mergeCell ref="A1183:F1183"/>
    <mergeCell ref="A1184:F1184"/>
    <mergeCell ref="A1185:F1185"/>
    <mergeCell ref="A1168:F1168"/>
    <mergeCell ref="A1049:F1049"/>
    <mergeCell ref="A1182:F1182"/>
    <mergeCell ref="B1070:G1070"/>
    <mergeCell ref="A1014:F1014"/>
    <mergeCell ref="A1015:F1015"/>
    <mergeCell ref="A1016:F1016"/>
    <mergeCell ref="A1051:F1051"/>
    <mergeCell ref="A1019:F1019"/>
    <mergeCell ref="A1020:F1020"/>
    <mergeCell ref="A1021:G1021"/>
    <mergeCell ref="B1022:G1022"/>
    <mergeCell ref="A1035:F1035"/>
    <mergeCell ref="A1036:F1036"/>
    <mergeCell ref="A1063:F1063"/>
    <mergeCell ref="A1054:F1054"/>
    <mergeCell ref="A1055:G1055"/>
    <mergeCell ref="A1005:F1005"/>
    <mergeCell ref="A1006:F1006"/>
    <mergeCell ref="A1007:G1007"/>
    <mergeCell ref="A1030:F1030"/>
    <mergeCell ref="A1031:F1031"/>
    <mergeCell ref="A1032:F1032"/>
    <mergeCell ref="A1013:F1013"/>
    <mergeCell ref="A1086:F1086"/>
    <mergeCell ref="A1087:F1087"/>
    <mergeCell ref="A1101:F1101"/>
    <mergeCell ref="A1107:F1107"/>
    <mergeCell ref="A1090:G1090"/>
    <mergeCell ref="A1050:F1050"/>
    <mergeCell ref="A1062:F1062"/>
    <mergeCell ref="A1052:F1052"/>
    <mergeCell ref="A1053:F1053"/>
    <mergeCell ref="A1064:F1064"/>
    <mergeCell ref="A1165:F1165"/>
    <mergeCell ref="A1166:F1166"/>
    <mergeCell ref="A1141:F1141"/>
    <mergeCell ref="A1142:F1142"/>
    <mergeCell ref="A1102:F1102"/>
    <mergeCell ref="A1103:F1103"/>
    <mergeCell ref="A1104:F1104"/>
    <mergeCell ref="A1105:F1105"/>
    <mergeCell ref="A1135:F1135"/>
    <mergeCell ref="A1136:F1136"/>
    <mergeCell ref="A1167:F1167"/>
    <mergeCell ref="A1154:F1154"/>
    <mergeCell ref="A1155:F1155"/>
    <mergeCell ref="A1156:F1156"/>
    <mergeCell ref="A1157:F1157"/>
    <mergeCell ref="A1143:G1143"/>
    <mergeCell ref="B1144:G1144"/>
    <mergeCell ref="A1145:G1145"/>
    <mergeCell ref="A1153:F1153"/>
    <mergeCell ref="A1164:F1164"/>
    <mergeCell ref="A1190:G1190"/>
    <mergeCell ref="A586:F586"/>
    <mergeCell ref="A587:F587"/>
    <mergeCell ref="A1038:G1038"/>
    <mergeCell ref="A1047:F1047"/>
    <mergeCell ref="A1029:F1029"/>
    <mergeCell ref="A1138:F1138"/>
    <mergeCell ref="A1139:F1139"/>
    <mergeCell ref="A1140:F1140"/>
    <mergeCell ref="A1088:F1088"/>
    <mergeCell ref="A1004:F1004"/>
    <mergeCell ref="A646:G646"/>
    <mergeCell ref="A650:G650"/>
    <mergeCell ref="A986:F986"/>
    <mergeCell ref="A987:F987"/>
    <mergeCell ref="A745:G745"/>
    <mergeCell ref="B746:G746"/>
    <mergeCell ref="A910:F910"/>
    <mergeCell ref="A917:G917"/>
    <mergeCell ref="A912:F912"/>
    <mergeCell ref="A1091:G1091"/>
    <mergeCell ref="A1065:F1065"/>
    <mergeCell ref="A1066:F1066"/>
    <mergeCell ref="A1084:F1084"/>
    <mergeCell ref="A1085:F1085"/>
    <mergeCell ref="A1067:F1067"/>
    <mergeCell ref="A1068:F1068"/>
    <mergeCell ref="A1069:F1069"/>
    <mergeCell ref="A1082:F1082"/>
    <mergeCell ref="A1089:F1089"/>
    <mergeCell ref="A1100:F1100"/>
    <mergeCell ref="A1108:G1108"/>
    <mergeCell ref="A1109:G1109"/>
    <mergeCell ref="A1106:F1106"/>
    <mergeCell ref="A1150:F1150"/>
    <mergeCell ref="A1121:F1121"/>
    <mergeCell ref="A1137:F1137"/>
    <mergeCell ref="A1120:F1120"/>
    <mergeCell ref="A1669:F1669"/>
    <mergeCell ref="A1297:F1297"/>
    <mergeCell ref="A1298:G1298"/>
    <mergeCell ref="A1291:F1291"/>
    <mergeCell ref="A1292:F1292"/>
    <mergeCell ref="A1254:F1254"/>
    <mergeCell ref="A1255:F1255"/>
    <mergeCell ref="A1256:F1256"/>
    <mergeCell ref="A1296:F1296"/>
    <mergeCell ref="A1366:F1366"/>
    <mergeCell ref="A1314:G1314"/>
    <mergeCell ref="A1315:G1315"/>
    <mergeCell ref="A1258:F1258"/>
    <mergeCell ref="A1259:F1259"/>
    <mergeCell ref="A1308:F1308"/>
    <mergeCell ref="A1309:F1309"/>
    <mergeCell ref="A1310:F1310"/>
    <mergeCell ref="A1311:F1311"/>
    <mergeCell ref="A1260:F1260"/>
    <mergeCell ref="A1279:G1279"/>
    <mergeCell ref="A1293:F1293"/>
    <mergeCell ref="A1294:F1294"/>
    <mergeCell ref="A1295:F1295"/>
    <mergeCell ref="A1205:F1205"/>
    <mergeCell ref="A1225:F1225"/>
    <mergeCell ref="A1226:F1226"/>
    <mergeCell ref="A1227:G1227"/>
    <mergeCell ref="A1280:G1280"/>
    <mergeCell ref="A1271:F1271"/>
    <mergeCell ref="A1290:F1290"/>
    <mergeCell ref="A3019:F3019"/>
    <mergeCell ref="A1351:F1351"/>
    <mergeCell ref="A1352:G1352"/>
    <mergeCell ref="B1353:G1353"/>
    <mergeCell ref="A1200:F1200"/>
    <mergeCell ref="A1201:F1201"/>
    <mergeCell ref="A1202:F1202"/>
    <mergeCell ref="A1203:F1203"/>
    <mergeCell ref="A1204:F1204"/>
    <mergeCell ref="A1467:F1467"/>
    <mergeCell ref="A1306:F1306"/>
    <mergeCell ref="A1307:F1307"/>
    <mergeCell ref="A1313:F1313"/>
    <mergeCell ref="A1228:G1228"/>
    <mergeCell ref="A1219:F1219"/>
    <mergeCell ref="A1220:F1220"/>
    <mergeCell ref="A1221:F1221"/>
    <mergeCell ref="A1222:F1222"/>
    <mergeCell ref="A1223:F1223"/>
    <mergeCell ref="A1224:F1224"/>
    <mergeCell ref="A3018:F3018"/>
    <mergeCell ref="A3020:F3020"/>
    <mergeCell ref="A3021:G3021"/>
    <mergeCell ref="A1348:F1348"/>
    <mergeCell ref="A1240:F1240"/>
    <mergeCell ref="A1241:F1241"/>
    <mergeCell ref="A1299:G1299"/>
    <mergeCell ref="A1324:F1324"/>
    <mergeCell ref="A1325:F1325"/>
    <mergeCell ref="A1312:F1312"/>
    <mergeCell ref="A3047:G3047"/>
    <mergeCell ref="A3048:G3048"/>
    <mergeCell ref="A3013:F3013"/>
    <mergeCell ref="A3014:F3014"/>
    <mergeCell ref="A3015:F3015"/>
    <mergeCell ref="A3016:F3016"/>
    <mergeCell ref="A3017:F3017"/>
    <mergeCell ref="A3040:F3040"/>
    <mergeCell ref="A3041:F3041"/>
    <mergeCell ref="A3034:F3034"/>
    <mergeCell ref="A3005:G3005"/>
    <mergeCell ref="A3006:G3006"/>
    <mergeCell ref="B2663:G2663"/>
    <mergeCell ref="A2664:G2664"/>
    <mergeCell ref="A2673:F2673"/>
    <mergeCell ref="A2674:F2674"/>
    <mergeCell ref="A2752:F2752"/>
    <mergeCell ref="A2720:G2720"/>
    <mergeCell ref="B2721:G2721"/>
    <mergeCell ref="A2722:G2722"/>
    <mergeCell ref="A2769:F2769"/>
    <mergeCell ref="A2770:F2770"/>
    <mergeCell ref="A2430:G2430"/>
    <mergeCell ref="B2431:G2431"/>
    <mergeCell ref="A3003:F3003"/>
    <mergeCell ref="A3004:F3004"/>
    <mergeCell ref="A2530:F2530"/>
    <mergeCell ref="A2531:F2531"/>
    <mergeCell ref="A2484:F2484"/>
    <mergeCell ref="A2479:F2479"/>
    <mergeCell ref="A2795:F2795"/>
    <mergeCell ref="A2809:F2809"/>
    <mergeCell ref="A2796:F2796"/>
    <mergeCell ref="A2999:F2999"/>
    <mergeCell ref="A2753:F2753"/>
    <mergeCell ref="A2571:G2571"/>
    <mergeCell ref="A2830:F2830"/>
    <mergeCell ref="A2831:F2831"/>
    <mergeCell ref="A2717:F2717"/>
    <mergeCell ref="A2718:F2718"/>
    <mergeCell ref="A3001:F3001"/>
    <mergeCell ref="A2811:F2811"/>
    <mergeCell ref="A2812:F2812"/>
    <mergeCell ref="A2997:F2997"/>
    <mergeCell ref="A2998:F2998"/>
    <mergeCell ref="A3002:F3002"/>
    <mergeCell ref="A2828:F2828"/>
    <mergeCell ref="A2829:F2829"/>
    <mergeCell ref="A3000:F3000"/>
    <mergeCell ref="A2813:F2813"/>
    <mergeCell ref="A2282:F2282"/>
    <mergeCell ref="A2810:F2810"/>
    <mergeCell ref="A2283:F2283"/>
    <mergeCell ref="A2293:F2293"/>
    <mergeCell ref="A2294:F2294"/>
    <mergeCell ref="A2295:F2295"/>
    <mergeCell ref="A2296:F2296"/>
    <mergeCell ref="A2297:F2297"/>
    <mergeCell ref="A2298:F2298"/>
    <mergeCell ref="A2756:F2756"/>
    <mergeCell ref="A2757:F2757"/>
    <mergeCell ref="A2794:F2794"/>
    <mergeCell ref="A2754:F2754"/>
    <mergeCell ref="A2755:F2755"/>
    <mergeCell ref="A2486:G2486"/>
    <mergeCell ref="A2331:F2331"/>
    <mergeCell ref="A2332:F2332"/>
    <mergeCell ref="A2384:F2384"/>
    <mergeCell ref="A2385:F2385"/>
    <mergeCell ref="A2386:F2386"/>
    <mergeCell ref="A1326:F1326"/>
    <mergeCell ref="A1804:F1804"/>
    <mergeCell ref="A1805:F1805"/>
    <mergeCell ref="A1806:F1806"/>
    <mergeCell ref="A1807:F1807"/>
    <mergeCell ref="A1808:F1808"/>
    <mergeCell ref="A1468:F1468"/>
    <mergeCell ref="A1327:F1327"/>
    <mergeCell ref="A1328:F1328"/>
    <mergeCell ref="A1350:F1350"/>
    <mergeCell ref="A1809:F1809"/>
    <mergeCell ref="A1810:F1810"/>
    <mergeCell ref="A1811:F1811"/>
    <mergeCell ref="A1812:G1812"/>
    <mergeCell ref="B1813:G1813"/>
    <mergeCell ref="A1814:G1814"/>
    <mergeCell ref="A1903:F1903"/>
    <mergeCell ref="A1904:F1904"/>
    <mergeCell ref="A1905:F1905"/>
    <mergeCell ref="A2570:F2570"/>
    <mergeCell ref="A2367:F2367"/>
    <mergeCell ref="A2368:F2368"/>
    <mergeCell ref="A2369:F2369"/>
    <mergeCell ref="A2370:F2370"/>
    <mergeCell ref="A2371:F2371"/>
    <mergeCell ref="A2569:F2569"/>
    <mergeCell ref="A1548:F1548"/>
    <mergeCell ref="A1549:F1549"/>
    <mergeCell ref="A1455:G1455"/>
    <mergeCell ref="A1794:F1794"/>
    <mergeCell ref="A439:F439"/>
    <mergeCell ref="A440:F440"/>
    <mergeCell ref="A1158:G1158"/>
    <mergeCell ref="A1159:G1159"/>
    <mergeCell ref="A1151:F1151"/>
    <mergeCell ref="A1152:F1152"/>
    <mergeCell ref="A516:F516"/>
    <mergeCell ref="A517:F517"/>
    <mergeCell ref="A518:F518"/>
    <mergeCell ref="A519:F519"/>
    <mergeCell ref="A453:F453"/>
    <mergeCell ref="A454:F454"/>
    <mergeCell ref="A455:F455"/>
    <mergeCell ref="A499:F499"/>
    <mergeCell ref="A500:F500"/>
    <mergeCell ref="A464:G464"/>
    <mergeCell ref="A515:F515"/>
    <mergeCell ref="B3022:G3022"/>
    <mergeCell ref="A1128:G1128"/>
    <mergeCell ref="A1122:F1122"/>
    <mergeCell ref="A1123:F1123"/>
    <mergeCell ref="A1124:F1124"/>
    <mergeCell ref="A1125:F1125"/>
    <mergeCell ref="A1126:F1126"/>
    <mergeCell ref="A1127:F1127"/>
    <mergeCell ref="A2330:F2330"/>
    <mergeCell ref="A398:F398"/>
    <mergeCell ref="A399:F399"/>
    <mergeCell ref="A400:F400"/>
    <mergeCell ref="A512:F512"/>
    <mergeCell ref="A513:F513"/>
    <mergeCell ref="A514:F514"/>
    <mergeCell ref="A421:G421"/>
    <mergeCell ref="B422:G422"/>
    <mergeCell ref="A501:F501"/>
    <mergeCell ref="A502:F502"/>
    <mergeCell ref="A383:F383"/>
    <mergeCell ref="A416:F416"/>
    <mergeCell ref="A417:F417"/>
    <mergeCell ref="A418:F418"/>
    <mergeCell ref="A419:F419"/>
    <mergeCell ref="A420:F420"/>
    <mergeCell ref="A384:F384"/>
    <mergeCell ref="A403:F403"/>
    <mergeCell ref="A404:G404"/>
    <mergeCell ref="B405:G405"/>
    <mergeCell ref="A456:F456"/>
    <mergeCell ref="A457:F457"/>
    <mergeCell ref="A458:G458"/>
    <mergeCell ref="A450:F450"/>
    <mergeCell ref="A451:F451"/>
    <mergeCell ref="A452:F452"/>
    <mergeCell ref="A363:F363"/>
    <mergeCell ref="A352:F352"/>
    <mergeCell ref="A354:G354"/>
    <mergeCell ref="A442:G442"/>
    <mergeCell ref="A436:F436"/>
    <mergeCell ref="A437:F437"/>
    <mergeCell ref="A438:F438"/>
    <mergeCell ref="A441:G441"/>
    <mergeCell ref="A433:F433"/>
    <mergeCell ref="A434:F434"/>
    <mergeCell ref="A362:F362"/>
    <mergeCell ref="A337:F337"/>
    <mergeCell ref="A338:F338"/>
    <mergeCell ref="A347:F347"/>
    <mergeCell ref="A339:F339"/>
    <mergeCell ref="A323:G323"/>
    <mergeCell ref="B324:G324"/>
    <mergeCell ref="A325:G325"/>
    <mergeCell ref="A353:F353"/>
    <mergeCell ref="A334:F334"/>
    <mergeCell ref="A413:F413"/>
    <mergeCell ref="A414:F414"/>
    <mergeCell ref="A415:F415"/>
    <mergeCell ref="A367:F367"/>
    <mergeCell ref="B368:G368"/>
    <mergeCell ref="A361:F361"/>
    <mergeCell ref="A369:G369"/>
    <mergeCell ref="A402:F402"/>
    <mergeCell ref="A396:F396"/>
    <mergeCell ref="A397:F397"/>
    <mergeCell ref="A2535:F2535"/>
    <mergeCell ref="A2388:F2388"/>
    <mergeCell ref="A2518:F2518"/>
    <mergeCell ref="A2425:F2425"/>
    <mergeCell ref="A2427:F2427"/>
    <mergeCell ref="A2480:F2480"/>
    <mergeCell ref="A2389:F2389"/>
    <mergeCell ref="A2414:G2414"/>
    <mergeCell ref="A2415:G2415"/>
    <mergeCell ref="A2411:F2411"/>
    <mergeCell ref="A401:F401"/>
    <mergeCell ref="A2373:G2373"/>
    <mergeCell ref="A2374:G2374"/>
    <mergeCell ref="A435:F435"/>
    <mergeCell ref="A2787:F2787"/>
    <mergeCell ref="A2797:F2797"/>
    <mergeCell ref="A2383:F2383"/>
    <mergeCell ref="A2768:F2768"/>
    <mergeCell ref="A2765:F2765"/>
    <mergeCell ref="A2333:F2333"/>
    <mergeCell ref="A2675:F2675"/>
    <mergeCell ref="A2676:F2676"/>
    <mergeCell ref="A2702:G2702"/>
    <mergeCell ref="A2703:G2703"/>
    <mergeCell ref="A2567:F2567"/>
    <mergeCell ref="A2751:F2751"/>
    <mergeCell ref="A2683:G2683"/>
    <mergeCell ref="B2682:G2682"/>
    <mergeCell ref="A2678:F2678"/>
    <mergeCell ref="A2602:F2602"/>
    <mergeCell ref="A2814:F2814"/>
    <mergeCell ref="A2758:G2758"/>
    <mergeCell ref="A2719:F2719"/>
    <mergeCell ref="A2516:F2516"/>
    <mergeCell ref="A2851:F2851"/>
    <mergeCell ref="A2783:F2783"/>
    <mergeCell ref="A2784:F2784"/>
    <mergeCell ref="A2785:F2785"/>
    <mergeCell ref="A2786:F2786"/>
    <mergeCell ref="A2850:F2850"/>
    <mergeCell ref="A2876:F2876"/>
    <mergeCell ref="A2766:F2766"/>
    <mergeCell ref="A2767:F2767"/>
    <mergeCell ref="A2870:F2870"/>
    <mergeCell ref="A2852:F2852"/>
    <mergeCell ref="A2798:F2798"/>
    <mergeCell ref="A2799:F2799"/>
    <mergeCell ref="A2800:F2800"/>
    <mergeCell ref="A2801:F2801"/>
    <mergeCell ref="A2853:F2853"/>
    <mergeCell ref="A2771:F2771"/>
    <mergeCell ref="A2772:F2772"/>
    <mergeCell ref="A2780:F2780"/>
    <mergeCell ref="A2781:F2781"/>
    <mergeCell ref="A2782:F2782"/>
    <mergeCell ref="A2869:F2869"/>
    <mergeCell ref="A2802:G2802"/>
    <mergeCell ref="A2803:G2803"/>
    <mergeCell ref="A2833:F2833"/>
    <mergeCell ref="A2854:F2854"/>
    <mergeCell ref="A2871:F2871"/>
    <mergeCell ref="A2872:F2872"/>
    <mergeCell ref="A2873:F2873"/>
    <mergeCell ref="A2815:F2815"/>
    <mergeCell ref="A2816:F2816"/>
    <mergeCell ref="A2860:G2860"/>
    <mergeCell ref="A2826:F2826"/>
    <mergeCell ref="A2855:F2855"/>
    <mergeCell ref="A2832:F2832"/>
    <mergeCell ref="A2827:F2827"/>
    <mergeCell ref="A1273:F1273"/>
    <mergeCell ref="A1170:F1170"/>
    <mergeCell ref="A1171:F1171"/>
    <mergeCell ref="A1172:G1172"/>
    <mergeCell ref="A1257:F1257"/>
    <mergeCell ref="A1186:F1186"/>
    <mergeCell ref="A1187:F1187"/>
    <mergeCell ref="A1188:F1188"/>
    <mergeCell ref="A1173:G1173"/>
    <mergeCell ref="B1191:G1191"/>
    <mergeCell ref="A2874:F2874"/>
    <mergeCell ref="A2875:F2875"/>
    <mergeCell ref="A1274:F1274"/>
    <mergeCell ref="A1206:F1206"/>
    <mergeCell ref="A1207:F1207"/>
    <mergeCell ref="A1208:G1208"/>
    <mergeCell ref="A1275:F1275"/>
    <mergeCell ref="B1574:G1574"/>
    <mergeCell ref="A1270:F1270"/>
    <mergeCell ref="A1272:F1272"/>
    <mergeCell ref="A2905:F2905"/>
    <mergeCell ref="A2906:F2906"/>
    <mergeCell ref="A2907:F2907"/>
    <mergeCell ref="A1276:F1276"/>
    <mergeCell ref="A1277:F1277"/>
    <mergeCell ref="A2888:F2888"/>
    <mergeCell ref="A2889:F2889"/>
    <mergeCell ref="A2856:F2856"/>
    <mergeCell ref="A2857:F2857"/>
    <mergeCell ref="B2858:G2858"/>
    <mergeCell ref="A2890:F2890"/>
    <mergeCell ref="A2891:F2891"/>
    <mergeCell ref="A2892:F2892"/>
    <mergeCell ref="A2893:F2893"/>
    <mergeCell ref="A2894:F2894"/>
    <mergeCell ref="A2895:F2895"/>
    <mergeCell ref="A2908:F2908"/>
    <mergeCell ref="A2909:F2909"/>
    <mergeCell ref="A2910:F2910"/>
    <mergeCell ref="A2911:F2911"/>
    <mergeCell ref="A2912:F2912"/>
    <mergeCell ref="A2925:F2925"/>
    <mergeCell ref="A2966:F2966"/>
    <mergeCell ref="A2967:F2967"/>
    <mergeCell ref="A2968:F2968"/>
    <mergeCell ref="A2948:F2948"/>
    <mergeCell ref="A2949:F2949"/>
    <mergeCell ref="A2962:F2962"/>
    <mergeCell ref="A2964:F2964"/>
    <mergeCell ref="A2965:F2965"/>
    <mergeCell ref="A2963:F2963"/>
    <mergeCell ref="B2950:G2950"/>
    <mergeCell ref="A2945:F2945"/>
    <mergeCell ref="A2946:F2946"/>
    <mergeCell ref="A2947:F2947"/>
    <mergeCell ref="A2926:F2926"/>
    <mergeCell ref="A2927:F2927"/>
    <mergeCell ref="A2985:F2985"/>
    <mergeCell ref="A2984:F2984"/>
    <mergeCell ref="A2932:F2932"/>
    <mergeCell ref="A2942:F2942"/>
    <mergeCell ref="A2943:F2943"/>
    <mergeCell ref="A2986:F2986"/>
    <mergeCell ref="A2987:F2987"/>
    <mergeCell ref="A2988:F2988"/>
    <mergeCell ref="A2969:F2969"/>
    <mergeCell ref="A2982:F2982"/>
    <mergeCell ref="A2928:F2928"/>
    <mergeCell ref="A2929:F2929"/>
    <mergeCell ref="A2930:F2930"/>
    <mergeCell ref="A2931:F2931"/>
    <mergeCell ref="A2983:F2983"/>
    <mergeCell ref="A2944:F2944"/>
    <mergeCell ref="A65:F65"/>
    <mergeCell ref="A66:F66"/>
    <mergeCell ref="A67:F67"/>
    <mergeCell ref="A68:F68"/>
    <mergeCell ref="A2989:F2989"/>
    <mergeCell ref="B2896:G2896"/>
    <mergeCell ref="B2913:G2913"/>
    <mergeCell ref="B2970:G2970"/>
    <mergeCell ref="B2933:G2933"/>
    <mergeCell ref="A220:F220"/>
    <mergeCell ref="A221:F221"/>
    <mergeCell ref="A212:G212"/>
    <mergeCell ref="A274:G274"/>
    <mergeCell ref="B92:G92"/>
    <mergeCell ref="B110:G110"/>
    <mergeCell ref="A253:F253"/>
    <mergeCell ref="A225:F225"/>
    <mergeCell ref="A177:F177"/>
    <mergeCell ref="A178:F178"/>
    <mergeCell ref="A3035:F3035"/>
    <mergeCell ref="A3036:F3036"/>
    <mergeCell ref="A3037:F3037"/>
    <mergeCell ref="A3038:F3038"/>
    <mergeCell ref="A3039:F3039"/>
    <mergeCell ref="B111:G111"/>
    <mergeCell ref="B112:G112"/>
    <mergeCell ref="B128:G128"/>
    <mergeCell ref="B164:C164"/>
    <mergeCell ref="B278:F278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71" r:id="rId2"/>
  <headerFooter>
    <oddFooter>&amp;R&amp;"Verdana,Negrito itálico"&amp;10Página &amp;P de &amp;N</oddFooter>
  </headerFooter>
  <rowBreaks count="63" manualBreakCount="63">
    <brk id="53" max="6" man="1"/>
    <brk id="99" max="6" man="1"/>
    <brk id="152" max="6" man="1"/>
    <brk id="259" max="6" man="1"/>
    <brk id="309" max="6" man="1"/>
    <brk id="368" max="6" man="1"/>
    <brk id="423" max="6" man="1"/>
    <brk id="460" max="6" man="1"/>
    <brk id="488" max="6" man="1"/>
    <brk id="522" max="6" man="1"/>
    <brk id="572" max="6" man="1"/>
    <brk id="607" max="6" man="1"/>
    <brk id="631" max="6" man="1"/>
    <brk id="668" max="6" man="1"/>
    <brk id="712" max="6" man="1"/>
    <brk id="765" max="6" man="1"/>
    <brk id="812" max="6" man="1"/>
    <brk id="864" max="6" man="1"/>
    <brk id="905" max="6" man="1"/>
    <brk id="937" max="6" man="1"/>
    <brk id="978" max="6" man="1"/>
    <brk id="1023" max="6" man="1"/>
    <brk id="1070" max="6" man="1"/>
    <brk id="1110" max="6" man="1"/>
    <brk id="1158" max="6" man="1"/>
    <brk id="1193" max="6" man="1"/>
    <brk id="1235" max="6" man="1"/>
    <brk id="1286" max="6" man="1"/>
    <brk id="1321" max="6" man="1"/>
    <brk id="1360" max="6" man="1"/>
    <brk id="1408" max="6" man="1"/>
    <brk id="1455" max="6" man="1"/>
    <brk id="1494" max="6" man="1"/>
    <brk id="1538" max="6" man="1"/>
    <brk id="1578" max="6" man="1"/>
    <brk id="1627" max="6" man="1"/>
    <brk id="1672" max="6" man="1"/>
    <brk id="1758" max="6" man="1"/>
    <brk id="1802" max="6" man="1"/>
    <brk id="1852" max="6" man="1"/>
    <brk id="1888" max="6" man="1"/>
    <brk id="1929" max="6" man="1"/>
    <brk id="1966" max="6" man="1"/>
    <brk id="2007" max="6" man="1"/>
    <brk id="2059" max="6" man="1"/>
    <brk id="2103" max="6" man="1"/>
    <brk id="2153" max="6" man="1"/>
    <brk id="2196" max="6" man="1"/>
    <brk id="2245" max="6" man="1"/>
    <brk id="2284" max="6" man="1"/>
    <brk id="2326" max="6" man="1"/>
    <brk id="2372" max="6" man="1"/>
    <brk id="2415" max="6" man="1"/>
    <brk id="2504" max="6" man="1"/>
    <brk id="2588" max="6" man="1"/>
    <brk id="2627" max="6" man="1"/>
    <brk id="2671" max="6" man="1"/>
    <brk id="2721" max="6" man="1"/>
    <brk id="2772" max="6" man="1"/>
    <brk id="2818" max="6" man="1"/>
    <brk id="2859" max="6" man="1"/>
    <brk id="2914" max="6" man="1"/>
    <brk id="2973" max="6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="70" zoomScaleNormal="70" zoomScaleSheetLayoutView="70" zoomScalePageLayoutView="0" workbookViewId="0" topLeftCell="A16">
      <selection activeCell="I13" sqref="I13"/>
    </sheetView>
  </sheetViews>
  <sheetFormatPr defaultColWidth="9.33203125" defaultRowHeight="12.75"/>
  <cols>
    <col min="1" max="1" width="1.66796875" style="61" customWidth="1"/>
    <col min="2" max="2" width="28" style="61" bestFit="1" customWidth="1"/>
    <col min="3" max="3" width="61.83203125" style="61" customWidth="1"/>
    <col min="4" max="4" width="14.16015625" style="61" customWidth="1"/>
    <col min="5" max="5" width="16.33203125" style="61" customWidth="1"/>
    <col min="6" max="6" width="17.83203125" style="61" customWidth="1"/>
    <col min="7" max="7" width="19.5" style="61" bestFit="1" customWidth="1"/>
    <col min="8" max="8" width="15.33203125" style="61" customWidth="1"/>
    <col min="9" max="9" width="19" style="61" bestFit="1" customWidth="1"/>
    <col min="10" max="10" width="16.16015625" style="61" customWidth="1"/>
    <col min="11" max="11" width="21.33203125" style="276" bestFit="1" customWidth="1"/>
    <col min="12" max="12" width="14" style="272" customWidth="1"/>
    <col min="13" max="13" width="9.33203125" style="61" customWidth="1"/>
    <col min="14" max="14" width="39.16015625" style="61" customWidth="1"/>
    <col min="15" max="15" width="12.5" style="61" customWidth="1"/>
    <col min="16" max="16" width="22.83203125" style="61" customWidth="1"/>
    <col min="17" max="17" width="22.66015625" style="61" customWidth="1"/>
    <col min="18" max="16384" width="9.33203125" style="61" customWidth="1"/>
  </cols>
  <sheetData>
    <row r="1" spans="2:12" ht="12.75">
      <c r="B1" s="1"/>
      <c r="C1" s="1"/>
      <c r="D1" s="135"/>
      <c r="E1" s="135"/>
      <c r="F1" s="770" t="s">
        <v>273</v>
      </c>
      <c r="G1" s="770"/>
      <c r="H1" s="770"/>
      <c r="I1" s="770"/>
      <c r="J1" s="770"/>
      <c r="K1" s="770"/>
      <c r="L1" s="770"/>
    </row>
    <row r="2" spans="2:12" ht="12.75">
      <c r="B2" s="1"/>
      <c r="C2" s="1"/>
      <c r="D2" s="1"/>
      <c r="E2" s="1"/>
      <c r="F2" s="853" t="s">
        <v>274</v>
      </c>
      <c r="G2" s="853"/>
      <c r="H2" s="107" t="s">
        <v>275</v>
      </c>
      <c r="I2" s="108"/>
      <c r="J2" s="108"/>
      <c r="K2" s="273"/>
      <c r="L2" s="270"/>
    </row>
    <row r="3" spans="2:12" ht="12.75">
      <c r="B3" s="1"/>
      <c r="C3" s="1"/>
      <c r="D3" s="1"/>
      <c r="E3" s="1"/>
      <c r="F3" s="854" t="s">
        <v>276</v>
      </c>
      <c r="G3" s="854"/>
      <c r="H3" s="111" t="s">
        <v>277</v>
      </c>
      <c r="I3" s="112"/>
      <c r="J3" s="112"/>
      <c r="K3" s="274"/>
      <c r="L3" s="271"/>
    </row>
    <row r="4" spans="2:12" ht="12.75">
      <c r="B4" s="1"/>
      <c r="C4" s="1"/>
      <c r="D4" s="1"/>
      <c r="E4" s="1"/>
      <c r="F4" s="854" t="s">
        <v>278</v>
      </c>
      <c r="G4" s="854"/>
      <c r="H4" s="111" t="s">
        <v>279</v>
      </c>
      <c r="I4" s="112"/>
      <c r="J4" s="112"/>
      <c r="K4" s="274"/>
      <c r="L4" s="271"/>
    </row>
    <row r="5" spans="2:12" ht="12.75">
      <c r="B5" s="1"/>
      <c r="C5" s="1"/>
      <c r="D5" s="1"/>
      <c r="E5" s="1"/>
      <c r="F5" s="854" t="s">
        <v>54</v>
      </c>
      <c r="G5" s="854"/>
      <c r="H5" s="562">
        <v>43245</v>
      </c>
      <c r="I5" s="112"/>
      <c r="J5" s="112"/>
      <c r="K5" s="274"/>
      <c r="L5" s="271"/>
    </row>
    <row r="6" spans="2:12" ht="12.75">
      <c r="B6" s="1"/>
      <c r="C6" s="1"/>
      <c r="D6" s="1"/>
      <c r="E6" s="1"/>
      <c r="F6" s="854" t="s">
        <v>280</v>
      </c>
      <c r="G6" s="854"/>
      <c r="H6" s="111" t="s">
        <v>1832</v>
      </c>
      <c r="I6" s="112"/>
      <c r="J6" s="112"/>
      <c r="K6" s="274"/>
      <c r="L6" s="271"/>
    </row>
    <row r="7" spans="2:12" ht="12.75">
      <c r="B7" s="1"/>
      <c r="C7" s="1"/>
      <c r="D7" s="1"/>
      <c r="E7" s="1"/>
      <c r="F7" s="854" t="s">
        <v>281</v>
      </c>
      <c r="G7" s="854"/>
      <c r="H7" s="111" t="s">
        <v>1134</v>
      </c>
      <c r="I7" s="112"/>
      <c r="J7" s="112"/>
      <c r="K7" s="274"/>
      <c r="L7" s="271"/>
    </row>
    <row r="8" spans="2:12" ht="4.5" customHeight="1">
      <c r="B8" s="1"/>
      <c r="C8" s="1"/>
      <c r="D8" s="1"/>
      <c r="E8" s="1"/>
      <c r="F8" s="262"/>
      <c r="G8" s="263"/>
      <c r="H8" s="263"/>
      <c r="I8" s="263"/>
      <c r="J8" s="263"/>
      <c r="K8" s="275"/>
      <c r="L8" s="271"/>
    </row>
    <row r="9" spans="1:18" ht="18" customHeight="1">
      <c r="A9" s="59"/>
      <c r="B9" s="856" t="s">
        <v>1154</v>
      </c>
      <c r="C9" s="857"/>
      <c r="D9" s="857"/>
      <c r="E9" s="857"/>
      <c r="F9" s="857"/>
      <c r="G9" s="857"/>
      <c r="H9" s="857"/>
      <c r="I9" s="857"/>
      <c r="J9" s="857"/>
      <c r="K9" s="857"/>
      <c r="L9" s="857"/>
      <c r="M9" s="60"/>
      <c r="N9" s="59"/>
      <c r="O9" s="59"/>
      <c r="P9" s="59"/>
      <c r="Q9" s="59"/>
      <c r="R9" s="59"/>
    </row>
    <row r="10" spans="1:18" ht="12.75">
      <c r="A10" s="59"/>
      <c r="B10" s="93"/>
      <c r="C10" s="94"/>
      <c r="D10" s="94"/>
      <c r="E10" s="285"/>
      <c r="F10" s="850" t="s">
        <v>1193</v>
      </c>
      <c r="G10" s="860" t="s">
        <v>1194</v>
      </c>
      <c r="H10" s="861"/>
      <c r="I10" s="861"/>
      <c r="J10" s="861"/>
      <c r="K10" s="861"/>
      <c r="L10" s="862"/>
      <c r="M10" s="60"/>
      <c r="N10" s="855"/>
      <c r="O10" s="855"/>
      <c r="P10" s="855"/>
      <c r="Q10" s="855"/>
      <c r="R10" s="59"/>
    </row>
    <row r="11" spans="1:18" ht="24.75" customHeight="1">
      <c r="A11" s="59"/>
      <c r="B11" s="98" t="str">
        <f>'Composições Unitárias'!A11</f>
        <v>CÓDIGO</v>
      </c>
      <c r="C11" s="99" t="str">
        <f>'Composições Unitárias'!B11</f>
        <v>DESCRIÇÃO</v>
      </c>
      <c r="D11" s="99" t="str">
        <f>'Composições Unitárias'!C11</f>
        <v>CLASS</v>
      </c>
      <c r="E11" s="100" t="str">
        <f>'Composições Unitárias'!D11</f>
        <v>UNIDADE</v>
      </c>
      <c r="F11" s="851"/>
      <c r="G11" s="850" t="s">
        <v>1195</v>
      </c>
      <c r="H11" s="850" t="s">
        <v>1196</v>
      </c>
      <c r="I11" s="850" t="s">
        <v>1197</v>
      </c>
      <c r="J11" s="850" t="s">
        <v>1198</v>
      </c>
      <c r="K11" s="850" t="s">
        <v>1199</v>
      </c>
      <c r="L11" s="850" t="s">
        <v>1200</v>
      </c>
      <c r="M11" s="60"/>
      <c r="N11" s="855"/>
      <c r="O11" s="855"/>
      <c r="P11" s="855"/>
      <c r="Q11" s="855"/>
      <c r="R11" s="59"/>
    </row>
    <row r="12" spans="1:18" ht="12.75">
      <c r="A12" s="59"/>
      <c r="B12" s="95"/>
      <c r="C12" s="96"/>
      <c r="D12" s="96"/>
      <c r="E12" s="97"/>
      <c r="F12" s="852"/>
      <c r="G12" s="852"/>
      <c r="H12" s="852"/>
      <c r="I12" s="852"/>
      <c r="J12" s="852"/>
      <c r="K12" s="852"/>
      <c r="L12" s="852"/>
      <c r="M12" s="60"/>
      <c r="N12" s="264"/>
      <c r="O12" s="265"/>
      <c r="P12" s="266"/>
      <c r="Q12" s="266"/>
      <c r="R12" s="62"/>
    </row>
    <row r="13" spans="2:17" s="59" customFormat="1" ht="51">
      <c r="B13" s="278" t="str">
        <f>'Composições Unitárias'!A281</f>
        <v>(U)5961U</v>
      </c>
      <c r="C13" s="278" t="str">
        <f>'Composições Unitárias'!B281</f>
        <v>CAMINHÃO BASCULANTE 6 M3, PESO BRUTO TOTAL 16.000 KG, CARGA ÚTIL MÁXIMA 13.071 KG, DISTÂNCIA ENTRE EIXOS 4,80 M, POTÊNCIA 230 CV INCLUSIVE CAÇAMBA METÁLICA - CHI DIURNO. AF_06/2014</v>
      </c>
      <c r="D13" s="278" t="str">
        <f>'Composições Unitárias'!C281</f>
        <v>MAT.</v>
      </c>
      <c r="E13" s="278" t="str">
        <f>'Composições Unitárias'!D281</f>
        <v>UN</v>
      </c>
      <c r="F13" s="279">
        <f>AVERAGE(G13:L13)</f>
        <v>147.5</v>
      </c>
      <c r="G13" s="283" t="s">
        <v>1155</v>
      </c>
      <c r="H13" s="283">
        <v>145</v>
      </c>
      <c r="I13" s="283" t="s">
        <v>1156</v>
      </c>
      <c r="J13" s="283">
        <v>150</v>
      </c>
      <c r="K13" s="282"/>
      <c r="L13" s="283"/>
      <c r="M13" s="60"/>
      <c r="N13" s="86"/>
      <c r="O13" s="62"/>
      <c r="P13" s="87"/>
      <c r="Q13" s="87"/>
    </row>
    <row r="14" spans="2:17" s="59" customFormat="1" ht="12.75">
      <c r="B14" s="278" t="str">
        <f>'Composições Unitárias'!A411</f>
        <v>(U)02.001.0001.M.CBR.RJ</v>
      </c>
      <c r="C14" s="278" t="str">
        <f>'Composições Unitárias'!B411</f>
        <v>ART - Anotação de Responsabilidade Técnica</v>
      </c>
      <c r="D14" s="278" t="str">
        <f>'Composições Unitárias'!C411</f>
        <v>MAT.</v>
      </c>
      <c r="E14" s="278" t="str">
        <f>'Composições Unitárias'!D411</f>
        <v>und</v>
      </c>
      <c r="F14" s="279">
        <f>AVERAGE(G14:L14)</f>
        <v>218.54</v>
      </c>
      <c r="G14" s="283" t="s">
        <v>1209</v>
      </c>
      <c r="H14" s="283">
        <v>218.54</v>
      </c>
      <c r="I14" s="283"/>
      <c r="J14" s="283"/>
      <c r="K14" s="282"/>
      <c r="L14" s="283"/>
      <c r="M14" s="60"/>
      <c r="N14" s="86"/>
      <c r="O14" s="62"/>
      <c r="P14" s="87"/>
      <c r="Q14" s="87"/>
    </row>
    <row r="15" spans="2:17" s="59" customFormat="1" ht="51">
      <c r="B15" s="278" t="str">
        <f>'Composições Unitárias'!A1839</f>
        <v>(U)12.002.0001.M.CBR.RJ</v>
      </c>
      <c r="C15" s="278" t="str">
        <f>'Composições Unitárias'!B1839</f>
        <v>Veneziana indevassável para instalação em porta, fabricação em alumínio anodizado, aletas horizontais fixas em "V", com contra-moldura. Dimensões: 300x150 mm. Referência: Modelo VSH-2M da Tropical, ou equivalente</v>
      </c>
      <c r="D15" s="278" t="str">
        <f>'Composições Unitárias'!C1840</f>
        <v>MAT.</v>
      </c>
      <c r="E15" s="278" t="str">
        <f>'Composições Unitárias'!D1839</f>
        <v>UN</v>
      </c>
      <c r="F15" s="279">
        <f>AVERAGE(G15:L15)</f>
        <v>75</v>
      </c>
      <c r="G15" s="283" t="s">
        <v>1157</v>
      </c>
      <c r="H15" s="283">
        <v>75</v>
      </c>
      <c r="I15" s="283"/>
      <c r="J15" s="283"/>
      <c r="K15" s="282"/>
      <c r="L15" s="283"/>
      <c r="M15" s="60"/>
      <c r="N15" s="267"/>
      <c r="O15" s="268"/>
      <c r="P15" s="87"/>
      <c r="Q15" s="269"/>
    </row>
    <row r="16" spans="2:17" s="59" customFormat="1" ht="12.75">
      <c r="B16" s="278" t="str">
        <f>'Composições Unitárias'!A2727</f>
        <v>(U)13.002.0001.M.CBR.RJ</v>
      </c>
      <c r="C16" s="278" t="str">
        <f>'Composições Unitárias'!B2727</f>
        <v>Terminal de ventilação para tubo 75mm</v>
      </c>
      <c r="D16" s="278" t="str">
        <f>'Composições Unitárias'!C2727</f>
        <v>MAT.</v>
      </c>
      <c r="E16" s="278" t="str">
        <f>'Composições Unitárias'!D2727</f>
        <v>UN</v>
      </c>
      <c r="F16" s="279">
        <f>AVERAGE(G16:L16)</f>
        <v>9.05</v>
      </c>
      <c r="G16" s="283" t="s">
        <v>1159</v>
      </c>
      <c r="H16" s="283">
        <v>9.05</v>
      </c>
      <c r="I16" s="283" t="s">
        <v>1162</v>
      </c>
      <c r="J16" s="283">
        <v>9.05</v>
      </c>
      <c r="K16" s="282" t="s">
        <v>1160</v>
      </c>
      <c r="L16" s="283">
        <v>9.05</v>
      </c>
      <c r="M16" s="60"/>
      <c r="N16" s="267"/>
      <c r="O16" s="268"/>
      <c r="P16" s="87"/>
      <c r="Q16" s="269"/>
    </row>
    <row r="17" spans="2:17" s="59" customFormat="1" ht="12.75">
      <c r="B17" s="278" t="str">
        <f>'Composições Unitárias'!A2419</f>
        <v>(U)14.001.0002.M.CBR.RJ</v>
      </c>
      <c r="C17" s="278" t="str">
        <f>'Composições Unitárias'!B2419</f>
        <v>Tampa cega150x150</v>
      </c>
      <c r="D17" s="278" t="str">
        <f>'Composições Unitárias'!C2419</f>
        <v>MAT.</v>
      </c>
      <c r="E17" s="278" t="str">
        <f>'Composições Unitárias'!D2419</f>
        <v>UN</v>
      </c>
      <c r="F17" s="279">
        <f aca="true" t="shared" si="0" ref="F17:F30">AVERAGE(G17:L17)</f>
        <v>9.9</v>
      </c>
      <c r="G17" s="283" t="s">
        <v>1163</v>
      </c>
      <c r="H17" s="283">
        <v>9.9</v>
      </c>
      <c r="I17" s="283"/>
      <c r="J17" s="283"/>
      <c r="K17" s="282"/>
      <c r="L17" s="283"/>
      <c r="M17" s="60"/>
      <c r="N17" s="267"/>
      <c r="O17" s="268"/>
      <c r="P17" s="87"/>
      <c r="Q17" s="269"/>
    </row>
    <row r="18" spans="2:17" s="59" customFormat="1" ht="12.75">
      <c r="B18" s="278" t="str">
        <f>'Composições Unitárias'!A2418</f>
        <v>(U)14.001.0001.M.CBR.RJ</v>
      </c>
      <c r="C18" s="278" t="str">
        <f>'Composições Unitárias'!B2418</f>
        <v>Caixa sifonada 150x150x50</v>
      </c>
      <c r="D18" s="278" t="str">
        <f>'Composições Unitárias'!C2418</f>
        <v>MAT.</v>
      </c>
      <c r="E18" s="278" t="str">
        <f>'Composições Unitárias'!D2418</f>
        <v>UN</v>
      </c>
      <c r="F18" s="279">
        <f t="shared" si="0"/>
        <v>22.633333333333336</v>
      </c>
      <c r="G18" s="283" t="s">
        <v>1159</v>
      </c>
      <c r="H18" s="283">
        <v>22.65</v>
      </c>
      <c r="I18" s="283" t="s">
        <v>1162</v>
      </c>
      <c r="J18" s="283">
        <v>22.65</v>
      </c>
      <c r="K18" s="282" t="s">
        <v>1164</v>
      </c>
      <c r="L18" s="283">
        <v>22.6</v>
      </c>
      <c r="M18" s="60"/>
      <c r="N18" s="267"/>
      <c r="O18" s="268"/>
      <c r="P18" s="87"/>
      <c r="Q18" s="269"/>
    </row>
    <row r="19" spans="2:17" s="59" customFormat="1" ht="12.75">
      <c r="B19" s="278" t="str">
        <f>'Composições Unitárias'!A1763</f>
        <v>(U)16.002.0001.M.CBR.RJ</v>
      </c>
      <c r="C19" s="278" t="str">
        <f>'Composições Unitárias'!B1763</f>
        <v>Sistema de proteção. Incluso: Protetor contra surto</v>
      </c>
      <c r="D19" s="278" t="str">
        <f>'Composições Unitárias'!C1763</f>
        <v>MAT.</v>
      </c>
      <c r="E19" s="278" t="str">
        <f>'Composições Unitárias'!D1763</f>
        <v>UN</v>
      </c>
      <c r="F19" s="279">
        <f t="shared" si="0"/>
        <v>139</v>
      </c>
      <c r="G19" s="283" t="s">
        <v>1165</v>
      </c>
      <c r="H19" s="283">
        <v>139</v>
      </c>
      <c r="I19" s="283"/>
      <c r="J19" s="283"/>
      <c r="K19" s="282"/>
      <c r="L19" s="283"/>
      <c r="M19" s="60"/>
      <c r="N19" s="267"/>
      <c r="O19" s="268"/>
      <c r="P19" s="87"/>
      <c r="Q19" s="269"/>
    </row>
    <row r="20" spans="2:17" s="59" customFormat="1" ht="25.5">
      <c r="B20" s="280" t="str">
        <f>'Composições Unitárias'!A1729</f>
        <v>(U)16.002.0002.M.CBR.RJ</v>
      </c>
      <c r="C20" s="280" t="str">
        <f>'Composições Unitárias'!B1729</f>
        <v>Disjuntor 3 x 32 A, curva C, Icc = 16kA. Ref.: DWB160B32-3DX da WEG ou equivalentes técnicos.</v>
      </c>
      <c r="D20" s="280" t="str">
        <f>'Composições Unitárias'!C1729</f>
        <v>MAT.</v>
      </c>
      <c r="E20" s="280" t="str">
        <f>'Composições Unitárias'!D1729</f>
        <v>UN</v>
      </c>
      <c r="F20" s="281">
        <v>419.89</v>
      </c>
      <c r="G20" s="283" t="s">
        <v>1165</v>
      </c>
      <c r="H20" s="283"/>
      <c r="I20" s="283"/>
      <c r="J20" s="283"/>
      <c r="K20" s="282"/>
      <c r="L20" s="283"/>
      <c r="M20" s="60"/>
      <c r="N20" s="267"/>
      <c r="O20" s="268"/>
      <c r="P20" s="87"/>
      <c r="Q20" s="269"/>
    </row>
    <row r="21" spans="2:17" s="59" customFormat="1" ht="12.75">
      <c r="B21" s="278" t="str">
        <f>'Composições Unitárias'!A1596</f>
        <v>(U)16.006.0001.M.CBR.RJ</v>
      </c>
      <c r="C21" s="278" t="str">
        <f>'Composições Unitárias'!B1596</f>
        <v>Cabo PP 3x2,5mm2 (rolo com 100m)</v>
      </c>
      <c r="D21" s="278" t="str">
        <f>'Composições Unitárias'!C1596</f>
        <v>MAT.</v>
      </c>
      <c r="E21" s="278" t="str">
        <f>'Composições Unitárias'!D1596</f>
        <v>M</v>
      </c>
      <c r="F21" s="279">
        <f t="shared" si="0"/>
        <v>4.546666666666666</v>
      </c>
      <c r="G21" s="283" t="s">
        <v>1166</v>
      </c>
      <c r="H21" s="283">
        <v>4.51</v>
      </c>
      <c r="I21" s="283" t="s">
        <v>1159</v>
      </c>
      <c r="J21" s="283">
        <v>5.44</v>
      </c>
      <c r="K21" s="282" t="s">
        <v>1167</v>
      </c>
      <c r="L21" s="283">
        <v>3.69</v>
      </c>
      <c r="M21" s="60"/>
      <c r="N21" s="267"/>
      <c r="O21" s="268"/>
      <c r="P21" s="87"/>
      <c r="Q21" s="269"/>
    </row>
    <row r="22" spans="2:17" s="59" customFormat="1" ht="12.75">
      <c r="B22" s="278" t="str">
        <f>'Composições Unitárias'!A1597</f>
        <v>(U)16.007.0002.M.CBR.RJ</v>
      </c>
      <c r="C22" s="278" t="str">
        <f>'Composições Unitárias'!B1597</f>
        <v>Plug femea 2p+t</v>
      </c>
      <c r="D22" s="278" t="str">
        <f>'Composições Unitárias'!C1597</f>
        <v>MAT.</v>
      </c>
      <c r="E22" s="278" t="str">
        <f>'Composições Unitárias'!D1597</f>
        <v>UN</v>
      </c>
      <c r="F22" s="279">
        <f t="shared" si="0"/>
        <v>4.920000000000001</v>
      </c>
      <c r="G22" s="283" t="s">
        <v>1168</v>
      </c>
      <c r="H22" s="283">
        <v>4.36</v>
      </c>
      <c r="I22" s="283" t="s">
        <v>1169</v>
      </c>
      <c r="J22" s="283">
        <v>5.1</v>
      </c>
      <c r="K22" s="282" t="s">
        <v>1170</v>
      </c>
      <c r="L22" s="283">
        <v>5.3</v>
      </c>
      <c r="M22" s="60"/>
      <c r="N22" s="267"/>
      <c r="O22" s="268"/>
      <c r="P22" s="87"/>
      <c r="Q22" s="269"/>
    </row>
    <row r="23" spans="2:17" s="59" customFormat="1" ht="12.75">
      <c r="B23" s="278" t="str">
        <f>'Composições Unitárias'!A1598</f>
        <v>(U)16.007.0003.M.CBR.RJ</v>
      </c>
      <c r="C23" s="278" t="str">
        <f>'Composições Unitárias'!B1598</f>
        <v>Plug macho 2p+t</v>
      </c>
      <c r="D23" s="278" t="str">
        <f>'Composições Unitárias'!C1598</f>
        <v>MAT.</v>
      </c>
      <c r="E23" s="278" t="str">
        <f>'Composições Unitárias'!D1598</f>
        <v>UN</v>
      </c>
      <c r="F23" s="279">
        <f>AVERAGE(G23:L23)</f>
        <v>3.123333333333333</v>
      </c>
      <c r="G23" s="283" t="s">
        <v>1171</v>
      </c>
      <c r="H23" s="283">
        <v>3.9</v>
      </c>
      <c r="I23" s="283" t="s">
        <v>1162</v>
      </c>
      <c r="J23" s="283">
        <v>2.86</v>
      </c>
      <c r="K23" s="282" t="s">
        <v>1172</v>
      </c>
      <c r="L23" s="283">
        <v>2.61</v>
      </c>
      <c r="M23" s="60"/>
      <c r="N23" s="267"/>
      <c r="O23" s="268"/>
      <c r="P23" s="87"/>
      <c r="Q23" s="269"/>
    </row>
    <row r="24" spans="2:17" s="59" customFormat="1" ht="25.5">
      <c r="B24" s="278" t="str">
        <f>'Composições Unitárias'!A1745</f>
        <v>(U)16.007.0004.M.CBR.RJ</v>
      </c>
      <c r="C24" s="278" t="str">
        <f>'Composições Unitárias'!B1745</f>
        <v>Interruptor Diferencial Tetrapolar 4 x 25 A / 30 mA. Ref.: RDW30-25-4 da WEG ou equivalentes técnicos.</v>
      </c>
      <c r="D24" s="278" t="str">
        <f>'Composições Unitárias'!C1745</f>
        <v>MAT.</v>
      </c>
      <c r="E24" s="278" t="str">
        <f>'Composições Unitárias'!D1745</f>
        <v>M</v>
      </c>
      <c r="F24" s="279">
        <f t="shared" si="0"/>
        <v>227.05100000000002</v>
      </c>
      <c r="G24" s="283" t="s">
        <v>1165</v>
      </c>
      <c r="H24" s="283">
        <f>206.41*1.1</f>
        <v>227.05100000000002</v>
      </c>
      <c r="I24" s="283"/>
      <c r="J24" s="283"/>
      <c r="K24" s="282"/>
      <c r="L24" s="283"/>
      <c r="M24" s="60"/>
      <c r="N24" s="267"/>
      <c r="O24" s="268"/>
      <c r="P24" s="87"/>
      <c r="Q24" s="269"/>
    </row>
    <row r="25" spans="2:17" s="59" customFormat="1" ht="12.75">
      <c r="B25" s="280" t="str">
        <f>'Composições Unitárias'!A1541</f>
        <v>(U)16.008.0001.M.CBR.RJ</v>
      </c>
      <c r="C25" s="280" t="str">
        <f>'Composições Unitárias'!B1541</f>
        <v>Luminária circular de embutir com vidro recuado completa</v>
      </c>
      <c r="D25" s="280" t="str">
        <f>'Composições Unitárias'!C1541</f>
        <v>MAT.</v>
      </c>
      <c r="E25" s="280" t="str">
        <f>'Composições Unitárias'!D1541</f>
        <v>UN</v>
      </c>
      <c r="F25" s="281">
        <f t="shared" si="0"/>
        <v>48.00333333333334</v>
      </c>
      <c r="G25" s="283" t="s">
        <v>1173</v>
      </c>
      <c r="H25" s="283">
        <v>16.9</v>
      </c>
      <c r="I25" s="283" t="s">
        <v>1174</v>
      </c>
      <c r="J25" s="283">
        <v>66.9</v>
      </c>
      <c r="K25" s="282" t="s">
        <v>1192</v>
      </c>
      <c r="L25" s="283">
        <v>60.21</v>
      </c>
      <c r="M25" s="60"/>
      <c r="N25" s="267"/>
      <c r="O25" s="268"/>
      <c r="P25" s="87"/>
      <c r="Q25" s="269"/>
    </row>
    <row r="26" spans="2:17" s="59" customFormat="1" ht="12.75">
      <c r="B26" s="278" t="str">
        <f>'Composições Unitárias'!A1542</f>
        <v>(U)16.008.0002.M.CBR.RJ</v>
      </c>
      <c r="C26" s="278" t="str">
        <f>'Composições Unitárias'!B1542</f>
        <v>Lâmpadas fluorescentes compactas de 26W (4 pinos)</v>
      </c>
      <c r="D26" s="278" t="str">
        <f>'Composições Unitárias'!C1542</f>
        <v>MAT.</v>
      </c>
      <c r="E26" s="278" t="str">
        <f>'Composições Unitárias'!D1542</f>
        <v>UN</v>
      </c>
      <c r="F26" s="279">
        <f t="shared" si="0"/>
        <v>14.99</v>
      </c>
      <c r="G26" s="283" t="s">
        <v>1159</v>
      </c>
      <c r="H26" s="283">
        <v>14.99</v>
      </c>
      <c r="I26" s="283" t="s">
        <v>1160</v>
      </c>
      <c r="J26" s="283">
        <v>14.99</v>
      </c>
      <c r="K26" s="282"/>
      <c r="L26" s="283"/>
      <c r="M26" s="60"/>
      <c r="N26" s="267"/>
      <c r="O26" s="268"/>
      <c r="P26" s="87"/>
      <c r="Q26" s="269"/>
    </row>
    <row r="27" spans="2:17" s="59" customFormat="1" ht="12.75">
      <c r="B27" s="278" t="str">
        <f>'Composições Unitárias'!A1543</f>
        <v>(U)16.008.0003.M.CBR.RJ</v>
      </c>
      <c r="C27" s="278" t="str">
        <f>'Composições Unitárias'!B1543</f>
        <v>Reator eletronico 2x26w para lampada 4 pinos</v>
      </c>
      <c r="D27" s="278" t="str">
        <f>'Composições Unitárias'!C1543</f>
        <v>MAT.</v>
      </c>
      <c r="E27" s="278" t="str">
        <f>'Composições Unitárias'!D1543</f>
        <v>UN</v>
      </c>
      <c r="F27" s="279">
        <f t="shared" si="0"/>
        <v>33.74</v>
      </c>
      <c r="G27" s="283" t="s">
        <v>1175</v>
      </c>
      <c r="H27" s="283">
        <v>35.39</v>
      </c>
      <c r="I27" s="283" t="s">
        <v>1176</v>
      </c>
      <c r="J27" s="283">
        <v>32.09</v>
      </c>
      <c r="K27" s="282"/>
      <c r="L27" s="283"/>
      <c r="M27" s="60"/>
      <c r="N27" s="267"/>
      <c r="O27" s="268"/>
      <c r="P27" s="87"/>
      <c r="Q27" s="269"/>
    </row>
    <row r="28" spans="2:17" s="59" customFormat="1" ht="25.5">
      <c r="B28" s="278" t="str">
        <f>'Composições Unitárias'!A1559</f>
        <v>(U)16.008.0004.M.CBR.RJ</v>
      </c>
      <c r="C28" s="278" t="str">
        <f>'Composições Unitárias'!B1559</f>
        <v>Luminária circular de embutir com foco orientável para 1 lâmpada halógena dicróica de 50W, 12V completa</v>
      </c>
      <c r="D28" s="278" t="str">
        <f>'Composições Unitárias'!C1559</f>
        <v>MAT.</v>
      </c>
      <c r="E28" s="278" t="str">
        <f>'Composições Unitárias'!D1559</f>
        <v>UN</v>
      </c>
      <c r="F28" s="279">
        <f t="shared" si="0"/>
        <v>5.8</v>
      </c>
      <c r="G28" s="283" t="s">
        <v>1159</v>
      </c>
      <c r="H28" s="283">
        <v>5.8</v>
      </c>
      <c r="I28" s="283" t="s">
        <v>1162</v>
      </c>
      <c r="J28" s="283">
        <v>5.8</v>
      </c>
      <c r="K28" s="282"/>
      <c r="L28" s="283"/>
      <c r="M28" s="60"/>
      <c r="N28" s="267"/>
      <c r="O28" s="268"/>
      <c r="P28" s="87"/>
      <c r="Q28" s="269"/>
    </row>
    <row r="29" spans="2:17" s="59" customFormat="1" ht="51">
      <c r="B29" s="278" t="str">
        <f>'Composições Unitárias'!A1678</f>
        <v>(U)16.009.0001.M.CBR.RJ</v>
      </c>
      <c r="C29" s="278" t="str">
        <f>'Composições Unitárias'!B1678</f>
        <v>Quadro de distribuição de sobrepor 24 módulos (2x12) TTA, com placa de montagem, porta interna perfis verticais com trilhos DIN - Referência: TTW01-QD da WEG ou equivalentes técnicos.</v>
      </c>
      <c r="D29" s="278" t="str">
        <f>'Composições Unitárias'!C1678</f>
        <v>MAT.</v>
      </c>
      <c r="E29" s="278" t="str">
        <f>'Composições Unitárias'!D1678</f>
        <v>UN</v>
      </c>
      <c r="F29" s="279">
        <f t="shared" si="0"/>
        <v>2738.4</v>
      </c>
      <c r="G29" s="283" t="s">
        <v>1165</v>
      </c>
      <c r="H29" s="283">
        <v>2738.4</v>
      </c>
      <c r="I29" s="283"/>
      <c r="J29" s="283"/>
      <c r="K29" s="282"/>
      <c r="L29" s="283"/>
      <c r="M29" s="60"/>
      <c r="N29" s="267"/>
      <c r="O29" s="268"/>
      <c r="P29" s="87"/>
      <c r="Q29" s="269"/>
    </row>
    <row r="30" spans="2:17" s="59" customFormat="1" ht="12.75">
      <c r="B30" s="278" t="str">
        <f>'Composições Unitárias'!A1784</f>
        <v>(U)19.004.0001.M.CBR.RJ</v>
      </c>
      <c r="C30" s="278" t="str">
        <f>'Composições Unitárias'!B1784</f>
        <v>Exaustor para Banheiro Mod: Silent-300CRZ</v>
      </c>
      <c r="D30" s="278" t="str">
        <f>'Composições Unitárias'!C1784</f>
        <v>MAT.</v>
      </c>
      <c r="E30" s="278" t="str">
        <f>'Composições Unitárias'!D1784</f>
        <v>UN</v>
      </c>
      <c r="F30" s="279">
        <f t="shared" si="0"/>
        <v>415</v>
      </c>
      <c r="G30" s="283" t="s">
        <v>1159</v>
      </c>
      <c r="H30" s="283">
        <v>435</v>
      </c>
      <c r="I30" s="283" t="s">
        <v>1160</v>
      </c>
      <c r="J30" s="283">
        <v>435</v>
      </c>
      <c r="K30" s="282" t="s">
        <v>1157</v>
      </c>
      <c r="L30" s="283">
        <v>375</v>
      </c>
      <c r="M30" s="60"/>
      <c r="N30" s="267"/>
      <c r="O30" s="268"/>
      <c r="P30" s="87"/>
      <c r="Q30" s="269"/>
    </row>
    <row r="31" spans="2:17" s="59" customFormat="1" ht="12.75">
      <c r="B31" s="284" t="str">
        <f>'Composições Unitárias'!A577</f>
        <v>(U)26.004.0001.M.CBR.RJ</v>
      </c>
      <c r="C31" s="284" t="str">
        <f>'Composições Unitárias'!B577</f>
        <v>Barra de apoio tipo ''U'' para lavatorio</v>
      </c>
      <c r="D31" s="284" t="str">
        <f>'Composições Unitárias'!C577</f>
        <v>MAT.</v>
      </c>
      <c r="E31" s="284" t="str">
        <f>'Composições Unitárias'!D577</f>
        <v>UN</v>
      </c>
      <c r="F31" s="279">
        <f aca="true" t="shared" si="1" ref="F31:F37">AVERAGE(G31:L31)</f>
        <v>141.19</v>
      </c>
      <c r="G31" s="283" t="s">
        <v>1158</v>
      </c>
      <c r="H31" s="283">
        <v>141.19</v>
      </c>
      <c r="I31" s="283"/>
      <c r="J31" s="283"/>
      <c r="K31" s="282"/>
      <c r="L31" s="283"/>
      <c r="M31" s="60"/>
      <c r="N31" s="86"/>
      <c r="O31" s="62"/>
      <c r="P31" s="87"/>
      <c r="Q31" s="87"/>
    </row>
    <row r="32" spans="2:17" s="59" customFormat="1" ht="12.75">
      <c r="B32" s="284" t="str">
        <f>'Composições Unitárias'!A542</f>
        <v>26.004.0002.M.CBR.RJ</v>
      </c>
      <c r="C32" s="284" t="str">
        <f>'Composições Unitárias'!B544</f>
        <v>Barra de apoio em aço escovado 80cm</v>
      </c>
      <c r="D32" s="284" t="str">
        <f>'Composições Unitárias'!C544</f>
        <v>MAT.</v>
      </c>
      <c r="E32" s="284" t="str">
        <f>'Composições Unitárias'!D544</f>
        <v>UN</v>
      </c>
      <c r="F32" s="279">
        <f t="shared" si="1"/>
        <v>274.57</v>
      </c>
      <c r="G32" s="283" t="s">
        <v>1189</v>
      </c>
      <c r="H32" s="283">
        <v>265.05</v>
      </c>
      <c r="I32" s="283" t="s">
        <v>1190</v>
      </c>
      <c r="J32" s="283">
        <v>244.29</v>
      </c>
      <c r="K32" s="282" t="s">
        <v>1191</v>
      </c>
      <c r="L32" s="283">
        <v>314.37</v>
      </c>
      <c r="M32" s="60"/>
      <c r="N32" s="86"/>
      <c r="O32" s="62"/>
      <c r="P32" s="87"/>
      <c r="Q32" s="87"/>
    </row>
    <row r="33" spans="2:17" s="59" customFormat="1" ht="12.75">
      <c r="B33" s="278" t="str">
        <f>'Composições Unitárias'!A1026</f>
        <v>(U)26.001.0002.M.CBR.RJ</v>
      </c>
      <c r="C33" s="278" t="str">
        <f>'Composições Unitárias'!B1026</f>
        <v>Assento sanitário para banheiro PNE</v>
      </c>
      <c r="D33" s="278" t="str">
        <f>'Composições Unitárias'!C1026</f>
        <v>MAT.</v>
      </c>
      <c r="E33" s="278" t="str">
        <f>'Composições Unitárias'!D1026</f>
        <v>UN</v>
      </c>
      <c r="F33" s="279">
        <f t="shared" si="1"/>
        <v>111.56666666666668</v>
      </c>
      <c r="G33" s="283" t="s">
        <v>1159</v>
      </c>
      <c r="H33" s="283">
        <v>114.9</v>
      </c>
      <c r="I33" s="283" t="s">
        <v>1160</v>
      </c>
      <c r="J33" s="283">
        <v>114.9</v>
      </c>
      <c r="K33" s="282" t="s">
        <v>1161</v>
      </c>
      <c r="L33" s="283">
        <v>104.9</v>
      </c>
      <c r="M33" s="60"/>
      <c r="N33" s="86"/>
      <c r="O33" s="62"/>
      <c r="P33" s="87"/>
      <c r="Q33" s="87"/>
    </row>
    <row r="34" spans="2:17" s="59" customFormat="1" ht="25.5">
      <c r="B34" s="278" t="s">
        <v>1427</v>
      </c>
      <c r="C34" s="524" t="s">
        <v>1422</v>
      </c>
      <c r="D34" s="278" t="s">
        <v>73</v>
      </c>
      <c r="E34" s="278" t="s">
        <v>75</v>
      </c>
      <c r="F34" s="279">
        <f t="shared" si="1"/>
        <v>916</v>
      </c>
      <c r="G34" s="283" t="s">
        <v>1424</v>
      </c>
      <c r="H34" s="283">
        <v>589</v>
      </c>
      <c r="I34" s="283" t="s">
        <v>1425</v>
      </c>
      <c r="J34" s="283">
        <v>1239</v>
      </c>
      <c r="K34" s="282" t="s">
        <v>1426</v>
      </c>
      <c r="L34" s="283">
        <v>920</v>
      </c>
      <c r="M34" s="60"/>
      <c r="N34" s="86"/>
      <c r="O34" s="62"/>
      <c r="P34" s="87"/>
      <c r="Q34" s="87"/>
    </row>
    <row r="35" spans="2:17" s="59" customFormat="1" ht="25.5">
      <c r="B35" s="278" t="s">
        <v>1428</v>
      </c>
      <c r="C35" s="524" t="s">
        <v>1423</v>
      </c>
      <c r="D35" s="278" t="s">
        <v>73</v>
      </c>
      <c r="E35" s="278" t="s">
        <v>75</v>
      </c>
      <c r="F35" s="279">
        <f t="shared" si="1"/>
        <v>199.66666666666666</v>
      </c>
      <c r="G35" s="283" t="s">
        <v>1424</v>
      </c>
      <c r="H35" s="283">
        <v>154</v>
      </c>
      <c r="I35" s="283" t="s">
        <v>1425</v>
      </c>
      <c r="J35" s="283">
        <v>145</v>
      </c>
      <c r="K35" s="282" t="s">
        <v>1426</v>
      </c>
      <c r="L35" s="283">
        <v>300</v>
      </c>
      <c r="M35" s="60"/>
      <c r="N35" s="86"/>
      <c r="O35" s="62"/>
      <c r="P35" s="87"/>
      <c r="Q35" s="87"/>
    </row>
    <row r="36" spans="2:17" s="59" customFormat="1" ht="12.75">
      <c r="B36" s="278"/>
      <c r="C36" s="278" t="s">
        <v>1385</v>
      </c>
      <c r="D36" s="278" t="s">
        <v>73</v>
      </c>
      <c r="E36" s="278" t="s">
        <v>75</v>
      </c>
      <c r="F36" s="279">
        <f t="shared" si="1"/>
        <v>29.166666666666668</v>
      </c>
      <c r="G36" s="283" t="s">
        <v>1386</v>
      </c>
      <c r="H36" s="283">
        <v>33.6</v>
      </c>
      <c r="I36" s="283" t="s">
        <v>1387</v>
      </c>
      <c r="J36" s="283">
        <v>30.65</v>
      </c>
      <c r="K36" s="282" t="s">
        <v>1388</v>
      </c>
      <c r="L36" s="283">
        <v>23.25</v>
      </c>
      <c r="M36" s="60"/>
      <c r="N36" s="86"/>
      <c r="O36" s="62"/>
      <c r="P36" s="87"/>
      <c r="Q36" s="87"/>
    </row>
    <row r="37" spans="2:12" ht="12.75">
      <c r="B37" s="389"/>
      <c r="C37" s="390" t="s">
        <v>1379</v>
      </c>
      <c r="D37" s="278" t="s">
        <v>73</v>
      </c>
      <c r="E37" s="278" t="s">
        <v>75</v>
      </c>
      <c r="F37" s="279">
        <f t="shared" si="1"/>
        <v>1405.5166666666667</v>
      </c>
      <c r="G37" s="390" t="s">
        <v>1376</v>
      </c>
      <c r="H37" s="391">
        <v>1350.9</v>
      </c>
      <c r="I37" s="390" t="s">
        <v>1377</v>
      </c>
      <c r="J37" s="391">
        <v>1394.1</v>
      </c>
      <c r="K37" s="392" t="s">
        <v>1378</v>
      </c>
      <c r="L37" s="393">
        <v>1471.55</v>
      </c>
    </row>
    <row r="38" spans="2:10" ht="12.75">
      <c r="B38" s="5"/>
      <c r="C38" s="2"/>
      <c r="D38" s="2"/>
      <c r="E38" s="2"/>
      <c r="F38" s="261"/>
      <c r="G38" s="261"/>
      <c r="H38" s="261"/>
      <c r="I38" s="261"/>
      <c r="J38" s="261"/>
    </row>
    <row r="39" spans="2:12" ht="12.75">
      <c r="B39" s="746" t="s">
        <v>3</v>
      </c>
      <c r="C39" s="748"/>
      <c r="D39" s="858" t="s">
        <v>364</v>
      </c>
      <c r="E39" s="858"/>
      <c r="F39" s="858" t="s">
        <v>365</v>
      </c>
      <c r="G39" s="858"/>
      <c r="H39" s="858"/>
      <c r="I39" s="858"/>
      <c r="J39" s="859" t="s">
        <v>364</v>
      </c>
      <c r="K39" s="859"/>
      <c r="L39" s="859"/>
    </row>
    <row r="40" spans="2:12" ht="12.75">
      <c r="B40" s="846" t="s">
        <v>366</v>
      </c>
      <c r="C40" s="847"/>
      <c r="D40" s="155"/>
      <c r="E40" s="156"/>
      <c r="F40" s="146"/>
      <c r="G40" s="144"/>
      <c r="H40" s="144"/>
      <c r="I40" s="144"/>
      <c r="J40" s="147"/>
      <c r="K40" s="188"/>
      <c r="L40" s="189"/>
    </row>
    <row r="41" spans="2:12" ht="12.75">
      <c r="B41" s="153"/>
      <c r="C41" s="154"/>
      <c r="D41" s="155"/>
      <c r="E41" s="156"/>
      <c r="F41" s="158"/>
      <c r="G41" s="156"/>
      <c r="H41" s="156"/>
      <c r="I41" s="156"/>
      <c r="J41" s="159"/>
      <c r="K41" s="160"/>
      <c r="L41" s="190"/>
    </row>
    <row r="42" spans="2:12" ht="12.75">
      <c r="B42" s="848" t="s">
        <v>367</v>
      </c>
      <c r="C42" s="849"/>
      <c r="D42" s="148"/>
      <c r="E42" s="149"/>
      <c r="F42" s="151"/>
      <c r="G42" s="149"/>
      <c r="H42" s="149"/>
      <c r="I42" s="149"/>
      <c r="J42" s="152"/>
      <c r="K42" s="164"/>
      <c r="L42" s="191"/>
    </row>
  </sheetData>
  <sheetProtection/>
  <mergeCells count="26">
    <mergeCell ref="Q10:Q11"/>
    <mergeCell ref="B39:C39"/>
    <mergeCell ref="D39:E39"/>
    <mergeCell ref="F39:I39"/>
    <mergeCell ref="J39:L39"/>
    <mergeCell ref="B40:C40"/>
    <mergeCell ref="K11:K12"/>
    <mergeCell ref="L11:L12"/>
    <mergeCell ref="J11:J12"/>
    <mergeCell ref="G10:L10"/>
    <mergeCell ref="B42:C42"/>
    <mergeCell ref="O10:O11"/>
    <mergeCell ref="P10:P11"/>
    <mergeCell ref="F7:G7"/>
    <mergeCell ref="F1:L1"/>
    <mergeCell ref="B9:L9"/>
    <mergeCell ref="N10:N11"/>
    <mergeCell ref="G11:G12"/>
    <mergeCell ref="H11:H12"/>
    <mergeCell ref="I11:I12"/>
    <mergeCell ref="F10:F12"/>
    <mergeCell ref="F2:G2"/>
    <mergeCell ref="F3:G3"/>
    <mergeCell ref="F5:G5"/>
    <mergeCell ref="F6:G6"/>
    <mergeCell ref="F4:G4"/>
  </mergeCells>
  <printOptions horizontalCentered="1"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62" r:id="rId2"/>
  <headerFooter>
    <oddFooter>&amp;L&amp;"-,Regular"&amp;A&amp;R&amp;"-,Regular"Página &amp;P de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93"/>
  <sheetViews>
    <sheetView view="pageBreakPreview" zoomScale="80" zoomScaleNormal="70" zoomScaleSheetLayoutView="80" zoomScalePageLayoutView="0" workbookViewId="0" topLeftCell="C167">
      <selection activeCell="O182" sqref="O182"/>
    </sheetView>
  </sheetViews>
  <sheetFormatPr defaultColWidth="9.33203125" defaultRowHeight="12.75"/>
  <cols>
    <col min="1" max="1" width="24.5" style="307" customWidth="1"/>
    <col min="2" max="2" width="72" style="1" customWidth="1"/>
    <col min="3" max="3" width="20.83203125" style="1" customWidth="1"/>
    <col min="4" max="4" width="12.83203125" style="103" customWidth="1"/>
    <col min="5" max="5" width="18.16015625" style="1" customWidth="1"/>
    <col min="6" max="6" width="18.5" style="4" bestFit="1" customWidth="1"/>
    <col min="7" max="7" width="27.33203125" style="3" customWidth="1"/>
    <col min="8" max="8" width="18.5" style="4" customWidth="1"/>
    <col min="9" max="9" width="16.5" style="3" customWidth="1"/>
    <col min="10" max="10" width="17.33203125" style="3" customWidth="1"/>
    <col min="11" max="11" width="11.66015625" style="1" customWidth="1"/>
    <col min="12" max="12" width="11.83203125" style="1" customWidth="1"/>
    <col min="13" max="13" width="12.66015625" style="1" customWidth="1"/>
    <col min="14" max="14" width="14.33203125" style="1" customWidth="1"/>
    <col min="15" max="15" width="9.33203125" style="1" customWidth="1"/>
    <col min="16" max="16" width="24.5" style="1" customWidth="1"/>
    <col min="17" max="17" width="11.66015625" style="1" customWidth="1"/>
    <col min="18" max="16384" width="9.33203125" style="1" customWidth="1"/>
  </cols>
  <sheetData>
    <row r="1" spans="1:11" ht="12.75">
      <c r="A1" s="1"/>
      <c r="C1" s="135"/>
      <c r="D1" s="135"/>
      <c r="F1" s="752" t="s">
        <v>273</v>
      </c>
      <c r="G1" s="753"/>
      <c r="H1" s="753"/>
      <c r="I1" s="753"/>
      <c r="J1" s="753"/>
      <c r="K1" s="754"/>
    </row>
    <row r="2" spans="1:11" ht="12.75">
      <c r="A2" s="1"/>
      <c r="D2" s="1"/>
      <c r="F2" s="105" t="s">
        <v>274</v>
      </c>
      <c r="G2" s="411"/>
      <c r="H2" s="412"/>
      <c r="I2" s="413" t="s">
        <v>275</v>
      </c>
      <c r="J2" s="413"/>
      <c r="K2" s="414"/>
    </row>
    <row r="3" spans="1:11" ht="12.75">
      <c r="A3" s="1"/>
      <c r="D3" s="1"/>
      <c r="F3" s="407" t="s">
        <v>276</v>
      </c>
      <c r="G3" s="1"/>
      <c r="H3" s="409"/>
      <c r="I3" s="224" t="s">
        <v>277</v>
      </c>
      <c r="J3" s="224"/>
      <c r="K3" s="255"/>
    </row>
    <row r="4" spans="1:11" ht="12.75">
      <c r="A4" s="1"/>
      <c r="D4" s="1"/>
      <c r="F4" s="109" t="s">
        <v>278</v>
      </c>
      <c r="G4" s="411"/>
      <c r="H4" s="415"/>
      <c r="I4" s="416" t="s">
        <v>279</v>
      </c>
      <c r="J4" s="416"/>
      <c r="K4" s="417"/>
    </row>
    <row r="5" spans="1:11" ht="12.75">
      <c r="A5" s="1"/>
      <c r="D5" s="1"/>
      <c r="F5" s="407" t="s">
        <v>54</v>
      </c>
      <c r="G5" s="1"/>
      <c r="H5" s="409"/>
      <c r="I5" s="406">
        <v>43245</v>
      </c>
      <c r="J5" s="224"/>
      <c r="K5" s="255"/>
    </row>
    <row r="6" spans="1:11" ht="12.75">
      <c r="A6" s="1"/>
      <c r="D6" s="1"/>
      <c r="F6" s="109" t="s">
        <v>280</v>
      </c>
      <c r="G6" s="411"/>
      <c r="H6" s="415"/>
      <c r="I6" s="416" t="s">
        <v>1832</v>
      </c>
      <c r="J6" s="416"/>
      <c r="K6" s="417"/>
    </row>
    <row r="7" spans="1:11" ht="12.75">
      <c r="A7" s="1"/>
      <c r="D7" s="1"/>
      <c r="F7" s="408" t="s">
        <v>281</v>
      </c>
      <c r="G7" s="403"/>
      <c r="H7" s="410"/>
      <c r="I7" s="404" t="s">
        <v>1134</v>
      </c>
      <c r="J7" s="404"/>
      <c r="K7" s="405"/>
    </row>
    <row r="8" spans="1:4" ht="12.75">
      <c r="A8" s="1"/>
      <c r="D8" s="1"/>
    </row>
    <row r="9" spans="1:11" ht="12.75">
      <c r="A9" s="856" t="s">
        <v>107</v>
      </c>
      <c r="B9" s="857"/>
      <c r="C9" s="857"/>
      <c r="D9" s="857"/>
      <c r="E9" s="857"/>
      <c r="F9" s="857"/>
      <c r="G9" s="857"/>
      <c r="H9" s="857"/>
      <c r="I9" s="857"/>
      <c r="J9" s="857"/>
      <c r="K9" s="867"/>
    </row>
    <row r="10" spans="1:17" ht="12.75" customHeight="1">
      <c r="A10" s="532"/>
      <c r="B10" s="532"/>
      <c r="C10" s="532"/>
      <c r="D10" s="532"/>
      <c r="E10" s="500"/>
      <c r="F10" s="868" t="s">
        <v>1</v>
      </c>
      <c r="G10" s="868"/>
      <c r="H10" s="868"/>
      <c r="I10" s="860" t="s">
        <v>49</v>
      </c>
      <c r="J10" s="861"/>
      <c r="K10" s="862"/>
      <c r="N10" s="866" t="s">
        <v>50</v>
      </c>
      <c r="O10" s="866" t="s">
        <v>19</v>
      </c>
      <c r="P10" s="547" t="s">
        <v>51</v>
      </c>
      <c r="Q10" s="547" t="s">
        <v>52</v>
      </c>
    </row>
    <row r="11" spans="1:17" ht="25.5">
      <c r="A11" s="529" t="s">
        <v>35</v>
      </c>
      <c r="B11" s="529" t="s">
        <v>26</v>
      </c>
      <c r="C11" s="529" t="s">
        <v>34</v>
      </c>
      <c r="D11" s="529" t="s">
        <v>0</v>
      </c>
      <c r="E11" s="530" t="s">
        <v>32</v>
      </c>
      <c r="F11" s="548" t="s">
        <v>28</v>
      </c>
      <c r="G11" s="501" t="s">
        <v>27</v>
      </c>
      <c r="H11" s="548" t="s">
        <v>30</v>
      </c>
      <c r="I11" s="501" t="s">
        <v>44</v>
      </c>
      <c r="J11" s="501" t="s">
        <v>44</v>
      </c>
      <c r="K11" s="501" t="s">
        <v>45</v>
      </c>
      <c r="N11" s="866"/>
      <c r="O11" s="866"/>
      <c r="P11" s="547"/>
      <c r="Q11" s="547"/>
    </row>
    <row r="12" spans="1:17" ht="12.75">
      <c r="A12" s="529"/>
      <c r="B12" s="529"/>
      <c r="C12" s="529"/>
      <c r="D12" s="529"/>
      <c r="E12" s="531" t="s">
        <v>33</v>
      </c>
      <c r="F12" s="101" t="s">
        <v>29</v>
      </c>
      <c r="G12" s="402">
        <v>0.2696</v>
      </c>
      <c r="H12" s="101" t="s">
        <v>31</v>
      </c>
      <c r="I12" s="546" t="s">
        <v>46</v>
      </c>
      <c r="J12" s="546" t="s">
        <v>47</v>
      </c>
      <c r="K12" s="546" t="s">
        <v>48</v>
      </c>
      <c r="N12" s="81" t="s">
        <v>20</v>
      </c>
      <c r="O12" s="82">
        <f>COUNTIF($K$13:$K$185,N12)</f>
        <v>12</v>
      </c>
      <c r="P12" s="83">
        <f>O12/$O$15</f>
        <v>0.06936416184971098</v>
      </c>
      <c r="Q12" s="83">
        <f>J25</f>
        <v>0.5181295999845582</v>
      </c>
    </row>
    <row r="13" spans="1:17" ht="25.5">
      <c r="A13" s="431" t="s">
        <v>1596</v>
      </c>
      <c r="B13" s="533" t="s">
        <v>172</v>
      </c>
      <c r="C13" s="428">
        <v>47.07</v>
      </c>
      <c r="D13" s="427" t="s">
        <v>25</v>
      </c>
      <c r="E13" s="645">
        <v>277.513924</v>
      </c>
      <c r="F13" s="646">
        <v>13062.58040268</v>
      </c>
      <c r="G13" s="647">
        <f aca="true" t="shared" si="0" ref="G13:G44">F13*$G$12</f>
        <v>3521.671676562528</v>
      </c>
      <c r="H13" s="646">
        <f aca="true" t="shared" si="1" ref="H13:H44">F13+G13</f>
        <v>16584.252079242528</v>
      </c>
      <c r="I13" s="430">
        <f aca="true" t="shared" si="2" ref="I13:I44">H13/$H$186</f>
        <v>0.07428882467961652</v>
      </c>
      <c r="J13" s="430">
        <f>I13</f>
        <v>0.07428882467961652</v>
      </c>
      <c r="K13" s="63" t="s">
        <v>20</v>
      </c>
      <c r="N13" s="84" t="s">
        <v>21</v>
      </c>
      <c r="O13" s="82">
        <f>COUNTIF($K$15:$K$185,N13)</f>
        <v>27</v>
      </c>
      <c r="P13" s="85">
        <f>O13/$O$15</f>
        <v>0.15606936416184972</v>
      </c>
      <c r="Q13" s="85">
        <f>J52-J25</f>
        <v>0.2885867324263277</v>
      </c>
    </row>
    <row r="14" spans="1:17" ht="12.75">
      <c r="A14" s="503" t="s">
        <v>1599</v>
      </c>
      <c r="B14" s="533" t="s">
        <v>159</v>
      </c>
      <c r="C14" s="428">
        <v>188.45</v>
      </c>
      <c r="D14" s="427" t="s">
        <v>25</v>
      </c>
      <c r="E14" s="645">
        <v>68.58407131999999</v>
      </c>
      <c r="F14" s="646">
        <v>12924.668240253997</v>
      </c>
      <c r="G14" s="647">
        <f t="shared" si="0"/>
        <v>3484.490557572478</v>
      </c>
      <c r="H14" s="646">
        <f t="shared" si="1"/>
        <v>16409.158797826476</v>
      </c>
      <c r="I14" s="430">
        <f t="shared" si="2"/>
        <v>0.07350449783608183</v>
      </c>
      <c r="J14" s="430">
        <f>J13+I14</f>
        <v>0.14779332251569835</v>
      </c>
      <c r="K14" s="63" t="s">
        <v>20</v>
      </c>
      <c r="N14" s="88" t="s">
        <v>22</v>
      </c>
      <c r="O14" s="82">
        <f>COUNTIF($K$15:$K$185,N14)</f>
        <v>134</v>
      </c>
      <c r="P14" s="89">
        <f>O14/$O$15</f>
        <v>0.7745664739884393</v>
      </c>
      <c r="Q14" s="85">
        <f>J185-J52</f>
        <v>0.19328352198149112</v>
      </c>
    </row>
    <row r="15" spans="1:17" ht="12.75">
      <c r="A15" s="502" t="s">
        <v>1595</v>
      </c>
      <c r="B15" s="533" t="s">
        <v>143</v>
      </c>
      <c r="C15" s="428">
        <v>17.1</v>
      </c>
      <c r="D15" s="427" t="s">
        <v>25</v>
      </c>
      <c r="E15" s="429">
        <v>686.8465709999999</v>
      </c>
      <c r="F15" s="429">
        <v>11745.0763641</v>
      </c>
      <c r="G15" s="647">
        <f t="shared" si="0"/>
        <v>3166.47258776136</v>
      </c>
      <c r="H15" s="646">
        <f t="shared" si="1"/>
        <v>14911.54895186136</v>
      </c>
      <c r="I15" s="430">
        <f t="shared" si="2"/>
        <v>0.06679598455771567</v>
      </c>
      <c r="J15" s="430">
        <f aca="true" t="shared" si="3" ref="J15:J78">J14+I15</f>
        <v>0.214589307073414</v>
      </c>
      <c r="K15" s="63" t="s">
        <v>20</v>
      </c>
      <c r="N15" s="90" t="s">
        <v>28</v>
      </c>
      <c r="O15" s="91">
        <f>SUM(O12:O14)</f>
        <v>173</v>
      </c>
      <c r="P15" s="89">
        <f>O15/$P$15</f>
        <v>1</v>
      </c>
      <c r="Q15" s="193">
        <f>SUM(Q12:Q14)</f>
        <v>0.999999854392377</v>
      </c>
    </row>
    <row r="16" spans="1:17" ht="12.75">
      <c r="A16" s="431" t="s">
        <v>1469</v>
      </c>
      <c r="B16" s="533" t="s">
        <v>121</v>
      </c>
      <c r="C16" s="428">
        <v>2</v>
      </c>
      <c r="D16" s="427" t="s">
        <v>1187</v>
      </c>
      <c r="E16" s="429">
        <v>5434.7105</v>
      </c>
      <c r="F16" s="429">
        <v>10869.421</v>
      </c>
      <c r="G16" s="647">
        <f t="shared" si="0"/>
        <v>2930.3959016000003</v>
      </c>
      <c r="H16" s="646">
        <f t="shared" si="1"/>
        <v>13799.816901600001</v>
      </c>
      <c r="I16" s="430">
        <f t="shared" si="2"/>
        <v>0.0618160031284688</v>
      </c>
      <c r="J16" s="430">
        <f t="shared" si="3"/>
        <v>0.2764053102018828</v>
      </c>
      <c r="K16" s="63" t="s">
        <v>20</v>
      </c>
      <c r="N16" s="418"/>
      <c r="O16" s="418"/>
      <c r="P16" s="418"/>
      <c r="Q16" s="418"/>
    </row>
    <row r="17" spans="1:17" ht="12.75">
      <c r="A17" s="502" t="s">
        <v>1601</v>
      </c>
      <c r="B17" s="533" t="s">
        <v>161</v>
      </c>
      <c r="C17" s="428">
        <v>154.625</v>
      </c>
      <c r="D17" s="427" t="s">
        <v>25</v>
      </c>
      <c r="E17" s="429">
        <v>56.10299528</v>
      </c>
      <c r="F17" s="429">
        <v>8674.92564517</v>
      </c>
      <c r="G17" s="647">
        <f t="shared" si="0"/>
        <v>2338.759953937832</v>
      </c>
      <c r="H17" s="646">
        <f t="shared" si="1"/>
        <v>11013.685599107832</v>
      </c>
      <c r="I17" s="430">
        <f t="shared" si="2"/>
        <v>0.04933558382006391</v>
      </c>
      <c r="J17" s="430">
        <f t="shared" si="3"/>
        <v>0.3257408940219467</v>
      </c>
      <c r="K17" s="63" t="s">
        <v>20</v>
      </c>
      <c r="N17" s="418"/>
      <c r="O17" s="418"/>
      <c r="P17" s="418"/>
      <c r="Q17" s="418"/>
    </row>
    <row r="18" spans="1:11" s="418" customFormat="1" ht="25.5">
      <c r="A18" s="427" t="s">
        <v>1592</v>
      </c>
      <c r="B18" s="533" t="s">
        <v>141</v>
      </c>
      <c r="C18" s="428">
        <v>104.95</v>
      </c>
      <c r="D18" s="427" t="s">
        <v>25</v>
      </c>
      <c r="E18" s="429">
        <v>72.42267438815999</v>
      </c>
      <c r="F18" s="429">
        <v>7600.759677037391</v>
      </c>
      <c r="G18" s="647">
        <f t="shared" si="0"/>
        <v>2049.1648089292808</v>
      </c>
      <c r="H18" s="646">
        <f t="shared" si="1"/>
        <v>9649.924485966672</v>
      </c>
      <c r="I18" s="430">
        <f t="shared" si="2"/>
        <v>0.043226643256755154</v>
      </c>
      <c r="J18" s="430">
        <f t="shared" si="3"/>
        <v>0.3689675372787019</v>
      </c>
      <c r="K18" s="63" t="s">
        <v>20</v>
      </c>
    </row>
    <row r="19" spans="1:11" s="418" customFormat="1" ht="12.75">
      <c r="A19" s="502" t="s">
        <v>1600</v>
      </c>
      <c r="B19" s="533" t="s">
        <v>160</v>
      </c>
      <c r="C19" s="428">
        <v>188.45</v>
      </c>
      <c r="D19" s="427" t="s">
        <v>25</v>
      </c>
      <c r="E19" s="429">
        <v>30.082924000000002</v>
      </c>
      <c r="F19" s="429">
        <v>5669.1270278</v>
      </c>
      <c r="G19" s="647">
        <f t="shared" si="0"/>
        <v>1528.39664669488</v>
      </c>
      <c r="H19" s="646">
        <f t="shared" si="1"/>
        <v>7197.52367449488</v>
      </c>
      <c r="I19" s="430">
        <f t="shared" si="2"/>
        <v>0.032241162991678375</v>
      </c>
      <c r="J19" s="430">
        <f t="shared" si="3"/>
        <v>0.4012087002703803</v>
      </c>
      <c r="K19" s="63" t="s">
        <v>20</v>
      </c>
    </row>
    <row r="20" spans="1:11" s="418" customFormat="1" ht="12.75">
      <c r="A20" s="427" t="s">
        <v>1468</v>
      </c>
      <c r="B20" s="533" t="s">
        <v>120</v>
      </c>
      <c r="C20" s="428">
        <v>0.45</v>
      </c>
      <c r="D20" s="427" t="s">
        <v>1187</v>
      </c>
      <c r="E20" s="429">
        <v>8532.95</v>
      </c>
      <c r="F20" s="429">
        <v>3839.8275000000003</v>
      </c>
      <c r="G20" s="647">
        <f t="shared" si="0"/>
        <v>1035.2174940000002</v>
      </c>
      <c r="H20" s="646">
        <f t="shared" si="1"/>
        <v>4875.044994000001</v>
      </c>
      <c r="I20" s="430">
        <f t="shared" si="2"/>
        <v>0.021837666307412375</v>
      </c>
      <c r="J20" s="430">
        <f t="shared" si="3"/>
        <v>0.42304636657779265</v>
      </c>
      <c r="K20" s="63" t="s">
        <v>20</v>
      </c>
    </row>
    <row r="21" spans="1:11" s="418" customFormat="1" ht="12.75">
      <c r="A21" s="427" t="s">
        <v>1617</v>
      </c>
      <c r="B21" s="533" t="s">
        <v>179</v>
      </c>
      <c r="C21" s="428">
        <v>74.36</v>
      </c>
      <c r="D21" s="427" t="s">
        <v>25</v>
      </c>
      <c r="E21" s="429">
        <v>46.049121072</v>
      </c>
      <c r="F21" s="429">
        <v>3424.21264291392</v>
      </c>
      <c r="G21" s="647">
        <f t="shared" si="0"/>
        <v>923.1677285295928</v>
      </c>
      <c r="H21" s="646">
        <f t="shared" si="1"/>
        <v>4347.380371443513</v>
      </c>
      <c r="I21" s="430">
        <f t="shared" si="2"/>
        <v>0.019474003210190244</v>
      </c>
      <c r="J21" s="430">
        <f t="shared" si="3"/>
        <v>0.4425203697879829</v>
      </c>
      <c r="K21" s="63" t="s">
        <v>20</v>
      </c>
    </row>
    <row r="22" spans="1:11" s="418" customFormat="1" ht="51">
      <c r="A22" s="502" t="s">
        <v>1669</v>
      </c>
      <c r="B22" s="533" t="s">
        <v>147</v>
      </c>
      <c r="C22" s="428">
        <v>6</v>
      </c>
      <c r="D22" s="427" t="s">
        <v>5</v>
      </c>
      <c r="E22" s="429">
        <v>562.597448</v>
      </c>
      <c r="F22" s="429">
        <v>3375.584688</v>
      </c>
      <c r="G22" s="647">
        <f t="shared" si="0"/>
        <v>910.0576318848</v>
      </c>
      <c r="H22" s="646">
        <f t="shared" si="1"/>
        <v>4285.6423198848</v>
      </c>
      <c r="I22" s="430">
        <f t="shared" si="2"/>
        <v>0.01919744884606267</v>
      </c>
      <c r="J22" s="430">
        <f t="shared" si="3"/>
        <v>0.4617178186340456</v>
      </c>
      <c r="K22" s="63" t="s">
        <v>20</v>
      </c>
    </row>
    <row r="23" spans="1:11" s="418" customFormat="1" ht="25.5">
      <c r="A23" s="502" t="s">
        <v>1687</v>
      </c>
      <c r="B23" s="533" t="s">
        <v>174</v>
      </c>
      <c r="C23" s="428">
        <v>56.64</v>
      </c>
      <c r="D23" s="427" t="s">
        <v>4</v>
      </c>
      <c r="E23" s="429">
        <v>59.5334564</v>
      </c>
      <c r="F23" s="429">
        <v>3371.974970496</v>
      </c>
      <c r="G23" s="647">
        <f t="shared" si="0"/>
        <v>909.0844520457216</v>
      </c>
      <c r="H23" s="646">
        <f t="shared" si="1"/>
        <v>4281.059422541722</v>
      </c>
      <c r="I23" s="430">
        <f t="shared" si="2"/>
        <v>0.01917691984930009</v>
      </c>
      <c r="J23" s="430">
        <f t="shared" si="3"/>
        <v>0.4808947384833457</v>
      </c>
      <c r="K23" s="63" t="s">
        <v>20</v>
      </c>
    </row>
    <row r="24" spans="1:11" s="418" customFormat="1" ht="12.75">
      <c r="A24" s="502" t="s">
        <v>1646</v>
      </c>
      <c r="B24" s="533" t="s">
        <v>140</v>
      </c>
      <c r="C24" s="428">
        <v>1</v>
      </c>
      <c r="D24" s="427" t="s">
        <v>272</v>
      </c>
      <c r="E24" s="429">
        <v>3305.871967619863</v>
      </c>
      <c r="F24" s="429">
        <v>3305.871967619863</v>
      </c>
      <c r="G24" s="647">
        <f t="shared" si="0"/>
        <v>891.2630824703151</v>
      </c>
      <c r="H24" s="646">
        <f t="shared" si="1"/>
        <v>4197.135050090178</v>
      </c>
      <c r="I24" s="430">
        <f t="shared" si="2"/>
        <v>0.01880098230556225</v>
      </c>
      <c r="J24" s="430">
        <f t="shared" si="3"/>
        <v>0.49969572078890795</v>
      </c>
      <c r="K24" s="63" t="s">
        <v>20</v>
      </c>
    </row>
    <row r="25" spans="1:11" s="418" customFormat="1" ht="63.75">
      <c r="A25" s="426" t="s">
        <v>1786</v>
      </c>
      <c r="B25" s="534" t="s">
        <v>1515</v>
      </c>
      <c r="C25" s="422">
        <v>500</v>
      </c>
      <c r="D25" s="421" t="s">
        <v>4</v>
      </c>
      <c r="E25" s="423">
        <v>6.482644736</v>
      </c>
      <c r="F25" s="423">
        <v>3241.322368</v>
      </c>
      <c r="G25" s="728">
        <f t="shared" si="0"/>
        <v>873.8605104128001</v>
      </c>
      <c r="H25" s="727">
        <f t="shared" si="1"/>
        <v>4115.1828784128</v>
      </c>
      <c r="I25" s="424">
        <f t="shared" si="2"/>
        <v>0.018433879195650246</v>
      </c>
      <c r="J25" s="424">
        <f t="shared" si="3"/>
        <v>0.5181295999845582</v>
      </c>
      <c r="K25" s="92" t="s">
        <v>21</v>
      </c>
    </row>
    <row r="26" spans="1:11" s="418" customFormat="1" ht="12.75">
      <c r="A26" s="426" t="s">
        <v>1645</v>
      </c>
      <c r="B26" s="534" t="s">
        <v>112</v>
      </c>
      <c r="C26" s="422">
        <v>1</v>
      </c>
      <c r="D26" s="421" t="s">
        <v>5</v>
      </c>
      <c r="E26" s="423">
        <v>3215.953464</v>
      </c>
      <c r="F26" s="423">
        <v>3215.953464</v>
      </c>
      <c r="G26" s="728">
        <f t="shared" si="0"/>
        <v>867.0210538944001</v>
      </c>
      <c r="H26" s="727">
        <f t="shared" si="1"/>
        <v>4082.9745178944004</v>
      </c>
      <c r="I26" s="424">
        <f t="shared" si="2"/>
        <v>0.01828960249047618</v>
      </c>
      <c r="J26" s="424">
        <f t="shared" si="3"/>
        <v>0.5364192024750344</v>
      </c>
      <c r="K26" s="92" t="s">
        <v>21</v>
      </c>
    </row>
    <row r="27" spans="1:11" s="418" customFormat="1" ht="63.75">
      <c r="A27" s="425" t="s">
        <v>1668</v>
      </c>
      <c r="B27" s="534" t="s">
        <v>146</v>
      </c>
      <c r="C27" s="422">
        <v>3</v>
      </c>
      <c r="D27" s="421" t="s">
        <v>5</v>
      </c>
      <c r="E27" s="423">
        <v>981.6390919999999</v>
      </c>
      <c r="F27" s="423">
        <v>2944.9172759999997</v>
      </c>
      <c r="G27" s="728">
        <f t="shared" si="0"/>
        <v>793.9496976096</v>
      </c>
      <c r="H27" s="727">
        <f t="shared" si="1"/>
        <v>3738.8669736096</v>
      </c>
      <c r="I27" s="424">
        <f t="shared" si="2"/>
        <v>0.016748179645106928</v>
      </c>
      <c r="J27" s="424">
        <f t="shared" si="3"/>
        <v>0.5531673821201413</v>
      </c>
      <c r="K27" s="92" t="s">
        <v>21</v>
      </c>
    </row>
    <row r="28" spans="1:11" s="418" customFormat="1" ht="38.25">
      <c r="A28" s="425" t="s">
        <v>1782</v>
      </c>
      <c r="B28" s="534" t="s">
        <v>224</v>
      </c>
      <c r="C28" s="422">
        <v>1</v>
      </c>
      <c r="D28" s="421" t="s">
        <v>5</v>
      </c>
      <c r="E28" s="423">
        <v>2921.347338</v>
      </c>
      <c r="F28" s="423">
        <v>2921.347338</v>
      </c>
      <c r="G28" s="728">
        <f t="shared" si="0"/>
        <v>787.5952423248</v>
      </c>
      <c r="H28" s="727">
        <f t="shared" si="1"/>
        <v>3708.9425803248</v>
      </c>
      <c r="I28" s="424">
        <f t="shared" si="2"/>
        <v>0.016614133925362904</v>
      </c>
      <c r="J28" s="424">
        <f t="shared" si="3"/>
        <v>0.5697815160455042</v>
      </c>
      <c r="K28" s="92" t="s">
        <v>21</v>
      </c>
    </row>
    <row r="29" spans="1:17" s="418" customFormat="1" ht="12.75">
      <c r="A29" s="421" t="s">
        <v>1649</v>
      </c>
      <c r="B29" s="534" t="s">
        <v>1305</v>
      </c>
      <c r="C29" s="422">
        <v>1</v>
      </c>
      <c r="D29" s="421" t="s">
        <v>1435</v>
      </c>
      <c r="E29" s="423">
        <v>2741.4723599999998</v>
      </c>
      <c r="F29" s="423">
        <v>2741.4723599999998</v>
      </c>
      <c r="G29" s="728">
        <f t="shared" si="0"/>
        <v>739.1009482559999</v>
      </c>
      <c r="H29" s="727">
        <f t="shared" si="1"/>
        <v>3480.5733082559996</v>
      </c>
      <c r="I29" s="424">
        <f t="shared" si="2"/>
        <v>0.015591158349867091</v>
      </c>
      <c r="J29" s="424">
        <f t="shared" si="3"/>
        <v>0.5853726743953713</v>
      </c>
      <c r="K29" s="92" t="s">
        <v>21</v>
      </c>
      <c r="N29" s="1"/>
      <c r="O29" s="1"/>
      <c r="P29" s="1"/>
      <c r="Q29" s="1"/>
    </row>
    <row r="30" spans="1:11" s="418" customFormat="1" ht="76.5">
      <c r="A30" s="425" t="s">
        <v>1667</v>
      </c>
      <c r="B30" s="534" t="s">
        <v>144</v>
      </c>
      <c r="C30" s="422">
        <v>2</v>
      </c>
      <c r="D30" s="421" t="s">
        <v>5</v>
      </c>
      <c r="E30" s="423">
        <v>1314.8224919999998</v>
      </c>
      <c r="F30" s="423">
        <v>2629.6449839999996</v>
      </c>
      <c r="G30" s="728">
        <f t="shared" si="0"/>
        <v>708.9522876863999</v>
      </c>
      <c r="H30" s="727">
        <f t="shared" si="1"/>
        <v>3338.5972716863994</v>
      </c>
      <c r="I30" s="424">
        <f t="shared" si="2"/>
        <v>0.014955179540631119</v>
      </c>
      <c r="J30" s="424">
        <f t="shared" si="3"/>
        <v>0.6003278539360024</v>
      </c>
      <c r="K30" s="92" t="s">
        <v>21</v>
      </c>
    </row>
    <row r="31" spans="1:11" s="418" customFormat="1" ht="12.75">
      <c r="A31" s="421" t="s">
        <v>1672</v>
      </c>
      <c r="B31" s="534" t="s">
        <v>156</v>
      </c>
      <c r="C31" s="422">
        <v>46.26</v>
      </c>
      <c r="D31" s="421" t="s">
        <v>25</v>
      </c>
      <c r="E31" s="423">
        <v>53.5815193824</v>
      </c>
      <c r="F31" s="423">
        <v>2478.681086629824</v>
      </c>
      <c r="G31" s="728">
        <f t="shared" si="0"/>
        <v>668.2524209554007</v>
      </c>
      <c r="H31" s="727">
        <f t="shared" si="1"/>
        <v>3146.933507585225</v>
      </c>
      <c r="I31" s="424">
        <f t="shared" si="2"/>
        <v>0.014096625552141705</v>
      </c>
      <c r="J31" s="424">
        <f t="shared" si="3"/>
        <v>0.6144244794881442</v>
      </c>
      <c r="K31" s="92" t="s">
        <v>21</v>
      </c>
    </row>
    <row r="32" spans="1:17" ht="12.75">
      <c r="A32" s="421" t="s">
        <v>1684</v>
      </c>
      <c r="B32" s="534" t="s">
        <v>177</v>
      </c>
      <c r="C32" s="422">
        <v>47.07</v>
      </c>
      <c r="D32" s="421" t="s">
        <v>25</v>
      </c>
      <c r="E32" s="423">
        <v>46.72310160000001</v>
      </c>
      <c r="F32" s="423">
        <v>2199.256392312</v>
      </c>
      <c r="G32" s="728">
        <f t="shared" si="0"/>
        <v>592.9195233673153</v>
      </c>
      <c r="H32" s="727">
        <f t="shared" si="1"/>
        <v>2792.1759156793155</v>
      </c>
      <c r="I32" s="424">
        <f t="shared" si="2"/>
        <v>0.012507496031984004</v>
      </c>
      <c r="J32" s="424">
        <f t="shared" si="3"/>
        <v>0.6269319755201281</v>
      </c>
      <c r="K32" s="92" t="s">
        <v>21</v>
      </c>
      <c r="N32" s="418"/>
      <c r="O32" s="418"/>
      <c r="P32" s="418"/>
      <c r="Q32" s="418"/>
    </row>
    <row r="33" spans="1:11" s="418" customFormat="1" ht="12.75">
      <c r="A33" s="421" t="s">
        <v>1752</v>
      </c>
      <c r="B33" s="534" t="s">
        <v>254</v>
      </c>
      <c r="C33" s="422">
        <v>53.7</v>
      </c>
      <c r="D33" s="421" t="s">
        <v>4</v>
      </c>
      <c r="E33" s="423">
        <v>39.726072</v>
      </c>
      <c r="F33" s="423">
        <v>2133.2900664000003</v>
      </c>
      <c r="G33" s="728">
        <f t="shared" si="0"/>
        <v>575.1350019014401</v>
      </c>
      <c r="H33" s="727">
        <f t="shared" si="1"/>
        <v>2708.4250683014407</v>
      </c>
      <c r="I33" s="424">
        <f t="shared" si="2"/>
        <v>0.012132335790334538</v>
      </c>
      <c r="J33" s="424">
        <f t="shared" si="3"/>
        <v>0.6390643113104627</v>
      </c>
      <c r="K33" s="92" t="s">
        <v>21</v>
      </c>
    </row>
    <row r="34" spans="1:11" s="418" customFormat="1" ht="12.75">
      <c r="A34" s="421" t="s">
        <v>1685</v>
      </c>
      <c r="B34" s="534" t="s">
        <v>178</v>
      </c>
      <c r="C34" s="422">
        <v>47.07</v>
      </c>
      <c r="D34" s="421" t="s">
        <v>25</v>
      </c>
      <c r="E34" s="423">
        <v>41.907445200000005</v>
      </c>
      <c r="F34" s="423">
        <v>1972.5834455640002</v>
      </c>
      <c r="G34" s="728">
        <f t="shared" si="0"/>
        <v>531.8084969240545</v>
      </c>
      <c r="H34" s="727">
        <f t="shared" si="1"/>
        <v>2504.3919424880546</v>
      </c>
      <c r="I34" s="424">
        <f t="shared" si="2"/>
        <v>0.011218373494057318</v>
      </c>
      <c r="J34" s="424">
        <f t="shared" si="3"/>
        <v>0.65028268480452</v>
      </c>
      <c r="K34" s="92" t="s">
        <v>21</v>
      </c>
    </row>
    <row r="35" spans="1:11" s="418" customFormat="1" ht="25.5">
      <c r="A35" s="421" t="s">
        <v>1737</v>
      </c>
      <c r="B35" s="534" t="s">
        <v>186</v>
      </c>
      <c r="C35" s="422">
        <v>8</v>
      </c>
      <c r="D35" s="421" t="s">
        <v>5</v>
      </c>
      <c r="E35" s="423">
        <v>243.1084664</v>
      </c>
      <c r="F35" s="423">
        <v>1944.8677312</v>
      </c>
      <c r="G35" s="728">
        <f t="shared" si="0"/>
        <v>524.33634033152</v>
      </c>
      <c r="H35" s="727">
        <f t="shared" si="1"/>
        <v>2469.2040715315197</v>
      </c>
      <c r="I35" s="424">
        <f t="shared" si="2"/>
        <v>0.011060750131613927</v>
      </c>
      <c r="J35" s="424">
        <f t="shared" si="3"/>
        <v>0.6613434349361339</v>
      </c>
      <c r="K35" s="92" t="s">
        <v>21</v>
      </c>
    </row>
    <row r="36" spans="1:11" s="418" customFormat="1" ht="51">
      <c r="A36" s="425" t="s">
        <v>1670</v>
      </c>
      <c r="B36" s="534" t="s">
        <v>148</v>
      </c>
      <c r="C36" s="422">
        <v>3.752</v>
      </c>
      <c r="D36" s="421" t="s">
        <v>25</v>
      </c>
      <c r="E36" s="423">
        <v>511.25634050400004</v>
      </c>
      <c r="F36" s="423">
        <v>1918.233789571008</v>
      </c>
      <c r="G36" s="728">
        <f t="shared" si="0"/>
        <v>517.1558296683437</v>
      </c>
      <c r="H36" s="727">
        <f t="shared" si="1"/>
        <v>2435.3896192393518</v>
      </c>
      <c r="I36" s="424">
        <f t="shared" si="2"/>
        <v>0.010909278970540932</v>
      </c>
      <c r="J36" s="424">
        <f t="shared" si="3"/>
        <v>0.6722527139066748</v>
      </c>
      <c r="K36" s="92" t="s">
        <v>21</v>
      </c>
    </row>
    <row r="37" spans="1:11" s="418" customFormat="1" ht="12.75">
      <c r="A37" s="421" t="s">
        <v>1656</v>
      </c>
      <c r="B37" s="534" t="s">
        <v>128</v>
      </c>
      <c r="C37" s="422">
        <v>52.5</v>
      </c>
      <c r="D37" s="421" t="s">
        <v>25</v>
      </c>
      <c r="E37" s="423">
        <v>35.13411</v>
      </c>
      <c r="F37" s="423">
        <v>1844.540775</v>
      </c>
      <c r="G37" s="728">
        <f t="shared" si="0"/>
        <v>497.28819294</v>
      </c>
      <c r="H37" s="727">
        <f t="shared" si="1"/>
        <v>2341.82896794</v>
      </c>
      <c r="I37" s="424">
        <f t="shared" si="2"/>
        <v>0.010490175908908878</v>
      </c>
      <c r="J37" s="424">
        <f t="shared" si="3"/>
        <v>0.6827428898155837</v>
      </c>
      <c r="K37" s="92" t="s">
        <v>21</v>
      </c>
    </row>
    <row r="38" spans="1:11" s="418" customFormat="1" ht="25.5">
      <c r="A38" s="426" t="s">
        <v>1807</v>
      </c>
      <c r="B38" s="534" t="s">
        <v>223</v>
      </c>
      <c r="C38" s="422">
        <v>2</v>
      </c>
      <c r="D38" s="421" t="s">
        <v>66</v>
      </c>
      <c r="E38" s="423">
        <v>852.806002</v>
      </c>
      <c r="F38" s="423">
        <v>1705.612004</v>
      </c>
      <c r="G38" s="728">
        <f t="shared" si="0"/>
        <v>459.8329962784</v>
      </c>
      <c r="H38" s="727">
        <f t="shared" si="1"/>
        <v>2165.4450002784</v>
      </c>
      <c r="I38" s="424">
        <f t="shared" si="2"/>
        <v>0.00970006746221514</v>
      </c>
      <c r="J38" s="424">
        <f t="shared" si="3"/>
        <v>0.6924429572777989</v>
      </c>
      <c r="K38" s="92" t="s">
        <v>21</v>
      </c>
    </row>
    <row r="39" spans="1:11" s="418" customFormat="1" ht="12.75">
      <c r="A39" s="426" t="s">
        <v>1753</v>
      </c>
      <c r="B39" s="534" t="s">
        <v>255</v>
      </c>
      <c r="C39" s="422">
        <v>33</v>
      </c>
      <c r="D39" s="421" t="s">
        <v>4</v>
      </c>
      <c r="E39" s="423">
        <v>51.480136</v>
      </c>
      <c r="F39" s="423">
        <v>1698.844488</v>
      </c>
      <c r="G39" s="728">
        <f t="shared" si="0"/>
        <v>458.0084739648</v>
      </c>
      <c r="H39" s="727">
        <f t="shared" si="1"/>
        <v>2156.8529619647998</v>
      </c>
      <c r="I39" s="424">
        <f t="shared" si="2"/>
        <v>0.009661579598857193</v>
      </c>
      <c r="J39" s="424">
        <f t="shared" si="3"/>
        <v>0.7021045368766561</v>
      </c>
      <c r="K39" s="92" t="s">
        <v>21</v>
      </c>
    </row>
    <row r="40" spans="1:11" s="418" customFormat="1" ht="63.75">
      <c r="A40" s="426" t="s">
        <v>1795</v>
      </c>
      <c r="B40" s="534" t="s">
        <v>215</v>
      </c>
      <c r="C40" s="422">
        <v>11</v>
      </c>
      <c r="D40" s="421" t="s">
        <v>5</v>
      </c>
      <c r="E40" s="423">
        <v>148.3094676</v>
      </c>
      <c r="F40" s="423">
        <v>1631.4041436</v>
      </c>
      <c r="G40" s="728">
        <f t="shared" si="0"/>
        <v>439.82655711456</v>
      </c>
      <c r="H40" s="727">
        <f t="shared" si="1"/>
        <v>2071.23070071456</v>
      </c>
      <c r="I40" s="424">
        <f t="shared" si="2"/>
        <v>0.009278036396287765</v>
      </c>
      <c r="J40" s="424">
        <f t="shared" si="3"/>
        <v>0.7113825732729439</v>
      </c>
      <c r="K40" s="92" t="s">
        <v>21</v>
      </c>
    </row>
    <row r="41" spans="1:11" s="418" customFormat="1" ht="12.75">
      <c r="A41" s="425" t="s">
        <v>1597</v>
      </c>
      <c r="B41" s="534" t="s">
        <v>173</v>
      </c>
      <c r="C41" s="422">
        <v>17.3</v>
      </c>
      <c r="D41" s="421" t="s">
        <v>6</v>
      </c>
      <c r="E41" s="423">
        <v>92.4305544</v>
      </c>
      <c r="F41" s="423">
        <v>1599.04859112</v>
      </c>
      <c r="G41" s="728">
        <f t="shared" si="0"/>
        <v>431.103500165952</v>
      </c>
      <c r="H41" s="727">
        <f t="shared" si="1"/>
        <v>2030.152091285952</v>
      </c>
      <c r="I41" s="424">
        <f t="shared" si="2"/>
        <v>0.009094025588966288</v>
      </c>
      <c r="J41" s="424">
        <f t="shared" si="3"/>
        <v>0.7204765988619102</v>
      </c>
      <c r="K41" s="92" t="s">
        <v>21</v>
      </c>
    </row>
    <row r="42" spans="1:11" s="418" customFormat="1" ht="25.5">
      <c r="A42" s="426" t="s">
        <v>1740</v>
      </c>
      <c r="B42" s="534" t="s">
        <v>192</v>
      </c>
      <c r="C42" s="422">
        <v>4.4</v>
      </c>
      <c r="D42" s="421" t="s">
        <v>25</v>
      </c>
      <c r="E42" s="423">
        <v>362.902596</v>
      </c>
      <c r="F42" s="423">
        <v>1596.7714224000001</v>
      </c>
      <c r="G42" s="728">
        <f t="shared" si="0"/>
        <v>430.48957547904007</v>
      </c>
      <c r="H42" s="727">
        <f t="shared" si="1"/>
        <v>2027.2609978790401</v>
      </c>
      <c r="I42" s="424">
        <f t="shared" si="2"/>
        <v>0.009081074994015594</v>
      </c>
      <c r="J42" s="424">
        <f t="shared" si="3"/>
        <v>0.7295576738559257</v>
      </c>
      <c r="K42" s="92" t="s">
        <v>21</v>
      </c>
    </row>
    <row r="43" spans="1:11" s="418" customFormat="1" ht="12.75">
      <c r="A43" s="421" t="s">
        <v>1724</v>
      </c>
      <c r="B43" s="534" t="s">
        <v>205</v>
      </c>
      <c r="C43" s="422">
        <v>1</v>
      </c>
      <c r="D43" s="421" t="s">
        <v>5</v>
      </c>
      <c r="E43" s="423">
        <v>1482.5598186666666</v>
      </c>
      <c r="F43" s="423">
        <v>1482.5598186666666</v>
      </c>
      <c r="G43" s="728">
        <f t="shared" si="0"/>
        <v>399.6981271125333</v>
      </c>
      <c r="H43" s="727">
        <f t="shared" si="1"/>
        <v>1882.2579457791999</v>
      </c>
      <c r="I43" s="424">
        <f t="shared" si="2"/>
        <v>0.008431536729402679</v>
      </c>
      <c r="J43" s="424">
        <f t="shared" si="3"/>
        <v>0.7379892105853284</v>
      </c>
      <c r="K43" s="92" t="s">
        <v>21</v>
      </c>
    </row>
    <row r="44" spans="1:11" s="418" customFormat="1" ht="25.5">
      <c r="A44" s="425" t="s">
        <v>1748</v>
      </c>
      <c r="B44" s="534" t="s">
        <v>152</v>
      </c>
      <c r="C44" s="422">
        <v>4</v>
      </c>
      <c r="D44" s="421" t="s">
        <v>5</v>
      </c>
      <c r="E44" s="423">
        <v>361.988398</v>
      </c>
      <c r="F44" s="423">
        <v>1447.953592</v>
      </c>
      <c r="G44" s="728">
        <f t="shared" si="0"/>
        <v>390.36828840320004</v>
      </c>
      <c r="H44" s="727">
        <f t="shared" si="1"/>
        <v>1838.3218804032</v>
      </c>
      <c r="I44" s="424">
        <f t="shared" si="2"/>
        <v>0.008234726005456007</v>
      </c>
      <c r="J44" s="424">
        <f t="shared" si="3"/>
        <v>0.7462239365907845</v>
      </c>
      <c r="K44" s="92" t="s">
        <v>21</v>
      </c>
    </row>
    <row r="45" spans="1:11" s="418" customFormat="1" ht="25.5">
      <c r="A45" s="421" t="s">
        <v>1754</v>
      </c>
      <c r="B45" s="534" t="s">
        <v>232</v>
      </c>
      <c r="C45" s="422">
        <v>30</v>
      </c>
      <c r="D45" s="421" t="s">
        <v>4</v>
      </c>
      <c r="E45" s="423">
        <v>47.32117824</v>
      </c>
      <c r="F45" s="423">
        <v>1419.6353472</v>
      </c>
      <c r="G45" s="728">
        <f aca="true" t="shared" si="4" ref="G45:G76">F45*$G$12</f>
        <v>382.73368960512005</v>
      </c>
      <c r="H45" s="727">
        <f aca="true" t="shared" si="5" ref="H45:H76">F45+G45</f>
        <v>1802.3690368051202</v>
      </c>
      <c r="I45" s="424">
        <f aca="true" t="shared" si="6" ref="I45:I76">H45/$H$186</f>
        <v>0.008073675963402291</v>
      </c>
      <c r="J45" s="424">
        <f t="shared" si="3"/>
        <v>0.7542976125541867</v>
      </c>
      <c r="K45" s="92" t="s">
        <v>21</v>
      </c>
    </row>
    <row r="46" spans="1:11" s="418" customFormat="1" ht="38.25">
      <c r="A46" s="426" t="s">
        <v>1721</v>
      </c>
      <c r="B46" s="534" t="s">
        <v>203</v>
      </c>
      <c r="C46" s="422">
        <v>2</v>
      </c>
      <c r="D46" s="421" t="s">
        <v>5</v>
      </c>
      <c r="E46" s="423">
        <v>682.8199999999999</v>
      </c>
      <c r="F46" s="423">
        <v>1365.6399999999999</v>
      </c>
      <c r="G46" s="728">
        <f t="shared" si="4"/>
        <v>368.176544</v>
      </c>
      <c r="H46" s="727">
        <f t="shared" si="5"/>
        <v>1733.8165439999998</v>
      </c>
      <c r="I46" s="424">
        <f t="shared" si="6"/>
        <v>0.007766596446338965</v>
      </c>
      <c r="J46" s="424">
        <f t="shared" si="3"/>
        <v>0.7620642090005256</v>
      </c>
      <c r="K46" s="92" t="s">
        <v>21</v>
      </c>
    </row>
    <row r="47" spans="1:11" s="418" customFormat="1" ht="63.75">
      <c r="A47" s="426" t="s">
        <v>1785</v>
      </c>
      <c r="B47" s="534" t="s">
        <v>1514</v>
      </c>
      <c r="C47" s="422">
        <v>470</v>
      </c>
      <c r="D47" s="421" t="s">
        <v>4</v>
      </c>
      <c r="E47" s="423">
        <v>2.88129004</v>
      </c>
      <c r="F47" s="423">
        <v>1354.2063188</v>
      </c>
      <c r="G47" s="728">
        <f t="shared" si="4"/>
        <v>365.09402354848</v>
      </c>
      <c r="H47" s="727">
        <f t="shared" si="5"/>
        <v>1719.30034234848</v>
      </c>
      <c r="I47" s="424">
        <f t="shared" si="6"/>
        <v>0.007701571412086532</v>
      </c>
      <c r="J47" s="424">
        <f t="shared" si="3"/>
        <v>0.7697657804126121</v>
      </c>
      <c r="K47" s="92" t="s">
        <v>21</v>
      </c>
    </row>
    <row r="48" spans="1:11" s="418" customFormat="1" ht="51">
      <c r="A48" s="426" t="s">
        <v>1809</v>
      </c>
      <c r="B48" s="534" t="s">
        <v>230</v>
      </c>
      <c r="C48" s="422">
        <v>3</v>
      </c>
      <c r="D48" s="421" t="s">
        <v>5</v>
      </c>
      <c r="E48" s="423">
        <v>443.7488674</v>
      </c>
      <c r="F48" s="423">
        <v>1331.2466021999999</v>
      </c>
      <c r="G48" s="728">
        <f t="shared" si="4"/>
        <v>358.90408395312</v>
      </c>
      <c r="H48" s="727">
        <f t="shared" si="5"/>
        <v>1690.1506861531198</v>
      </c>
      <c r="I48" s="424">
        <f t="shared" si="6"/>
        <v>0.0075709961116014034</v>
      </c>
      <c r="J48" s="424">
        <f t="shared" si="3"/>
        <v>0.7773367765242135</v>
      </c>
      <c r="K48" s="92" t="s">
        <v>21</v>
      </c>
    </row>
    <row r="49" spans="1:11" s="418" customFormat="1" ht="25.5">
      <c r="A49" s="426" t="s">
        <v>1746</v>
      </c>
      <c r="B49" s="534" t="s">
        <v>149</v>
      </c>
      <c r="C49" s="422">
        <v>4</v>
      </c>
      <c r="D49" s="421" t="s">
        <v>5</v>
      </c>
      <c r="E49" s="423">
        <v>327.867448</v>
      </c>
      <c r="F49" s="423">
        <v>1311.469792</v>
      </c>
      <c r="G49" s="728">
        <f t="shared" si="4"/>
        <v>353.57225592320003</v>
      </c>
      <c r="H49" s="727">
        <f t="shared" si="5"/>
        <v>1665.0420479232002</v>
      </c>
      <c r="I49" s="424">
        <f t="shared" si="6"/>
        <v>0.0074585224700712514</v>
      </c>
      <c r="J49" s="424">
        <f t="shared" si="3"/>
        <v>0.7847952989942848</v>
      </c>
      <c r="K49" s="92" t="s">
        <v>21</v>
      </c>
    </row>
    <row r="50" spans="1:12" s="418" customFormat="1" ht="51">
      <c r="A50" s="421" t="s">
        <v>1794</v>
      </c>
      <c r="B50" s="534" t="s">
        <v>213</v>
      </c>
      <c r="C50" s="422">
        <v>10</v>
      </c>
      <c r="D50" s="421" t="s">
        <v>5</v>
      </c>
      <c r="E50" s="423">
        <v>129.26946759999998</v>
      </c>
      <c r="F50" s="423">
        <v>1292.6946759999998</v>
      </c>
      <c r="G50" s="728">
        <f t="shared" si="4"/>
        <v>348.51048464959996</v>
      </c>
      <c r="H50" s="727">
        <f t="shared" si="5"/>
        <v>1641.2051606495997</v>
      </c>
      <c r="I50" s="424">
        <f t="shared" si="6"/>
        <v>0.007351745611451699</v>
      </c>
      <c r="J50" s="424">
        <f t="shared" si="3"/>
        <v>0.7921470446057365</v>
      </c>
      <c r="K50" s="92" t="s">
        <v>21</v>
      </c>
      <c r="L50" s="535"/>
    </row>
    <row r="51" spans="1:12" s="418" customFormat="1" ht="12.75">
      <c r="A51" s="425" t="s">
        <v>1657</v>
      </c>
      <c r="B51" s="534" t="s">
        <v>125</v>
      </c>
      <c r="C51" s="422">
        <v>50</v>
      </c>
      <c r="D51" s="421" t="s">
        <v>4</v>
      </c>
      <c r="E51" s="423">
        <v>25.744033351999995</v>
      </c>
      <c r="F51" s="423">
        <v>1287.2016675999998</v>
      </c>
      <c r="G51" s="728">
        <f t="shared" si="4"/>
        <v>347.02956958496</v>
      </c>
      <c r="H51" s="727">
        <f t="shared" si="5"/>
        <v>1634.2312371849598</v>
      </c>
      <c r="I51" s="424">
        <f t="shared" si="6"/>
        <v>0.007320506061116948</v>
      </c>
      <c r="J51" s="424">
        <f t="shared" si="3"/>
        <v>0.7994675506668534</v>
      </c>
      <c r="K51" s="92" t="s">
        <v>21</v>
      </c>
      <c r="L51" s="535"/>
    </row>
    <row r="52" spans="1:12" s="418" customFormat="1" ht="12.75">
      <c r="A52" s="502" t="s">
        <v>1598</v>
      </c>
      <c r="B52" s="533" t="s">
        <v>157</v>
      </c>
      <c r="C52" s="428">
        <v>188.45</v>
      </c>
      <c r="D52" s="427" t="s">
        <v>25</v>
      </c>
      <c r="E52" s="429">
        <v>6.7635448</v>
      </c>
      <c r="F52" s="429">
        <v>1274.59001756</v>
      </c>
      <c r="G52" s="647">
        <f t="shared" si="4"/>
        <v>343.629468734176</v>
      </c>
      <c r="H52" s="646">
        <f t="shared" si="5"/>
        <v>1618.219486294176</v>
      </c>
      <c r="I52" s="430">
        <f t="shared" si="6"/>
        <v>0.007248781744032553</v>
      </c>
      <c r="J52" s="430">
        <f t="shared" si="3"/>
        <v>0.8067163324108859</v>
      </c>
      <c r="K52" s="63" t="s">
        <v>22</v>
      </c>
      <c r="L52" s="535"/>
    </row>
    <row r="53" spans="1:12" s="418" customFormat="1" ht="51">
      <c r="A53" s="502" t="s">
        <v>1783</v>
      </c>
      <c r="B53" s="533" t="s">
        <v>1501</v>
      </c>
      <c r="C53" s="428">
        <v>100</v>
      </c>
      <c r="D53" s="427" t="s">
        <v>5</v>
      </c>
      <c r="E53" s="429">
        <v>11.937013560000002</v>
      </c>
      <c r="F53" s="429">
        <v>1193.7013560000003</v>
      </c>
      <c r="G53" s="647">
        <f t="shared" si="4"/>
        <v>321.8218855776001</v>
      </c>
      <c r="H53" s="646">
        <f t="shared" si="5"/>
        <v>1515.5232415776004</v>
      </c>
      <c r="I53" s="430">
        <f t="shared" si="6"/>
        <v>0.006788755974853993</v>
      </c>
      <c r="J53" s="430">
        <f t="shared" si="3"/>
        <v>0.8135050883857399</v>
      </c>
      <c r="K53" s="63" t="s">
        <v>22</v>
      </c>
      <c r="L53" s="535"/>
    </row>
    <row r="54" spans="1:12" s="418" customFormat="1" ht="25.5">
      <c r="A54" s="502" t="s">
        <v>1787</v>
      </c>
      <c r="B54" s="533" t="s">
        <v>1505</v>
      </c>
      <c r="C54" s="428">
        <v>52</v>
      </c>
      <c r="D54" s="427" t="s">
        <v>6</v>
      </c>
      <c r="E54" s="429">
        <v>22.4809959852</v>
      </c>
      <c r="F54" s="429">
        <v>1169.0117912304</v>
      </c>
      <c r="G54" s="647">
        <f t="shared" si="4"/>
        <v>315.1655789157158</v>
      </c>
      <c r="H54" s="646">
        <f t="shared" si="5"/>
        <v>1484.1773701461157</v>
      </c>
      <c r="I54" s="430">
        <f t="shared" si="6"/>
        <v>0.00664834277225211</v>
      </c>
      <c r="J54" s="430">
        <f t="shared" si="3"/>
        <v>0.820153431157992</v>
      </c>
      <c r="K54" s="63" t="s">
        <v>22</v>
      </c>
      <c r="L54" s="535"/>
    </row>
    <row r="55" spans="1:12" s="418" customFormat="1" ht="25.5">
      <c r="A55" s="502" t="s">
        <v>1720</v>
      </c>
      <c r="B55" s="533" t="s">
        <v>181</v>
      </c>
      <c r="C55" s="428">
        <v>6</v>
      </c>
      <c r="D55" s="427" t="s">
        <v>5</v>
      </c>
      <c r="E55" s="429">
        <v>185.82254532000002</v>
      </c>
      <c r="F55" s="429">
        <v>1114.93527192</v>
      </c>
      <c r="G55" s="647">
        <f t="shared" si="4"/>
        <v>300.58654930963206</v>
      </c>
      <c r="H55" s="646">
        <f t="shared" si="5"/>
        <v>1415.5218212296322</v>
      </c>
      <c r="I55" s="430">
        <f t="shared" si="6"/>
        <v>0.006340801617404178</v>
      </c>
      <c r="J55" s="430">
        <f t="shared" si="3"/>
        <v>0.8264942327753961</v>
      </c>
      <c r="K55" s="63" t="s">
        <v>22</v>
      </c>
      <c r="L55" s="535"/>
    </row>
    <row r="56" spans="1:12" s="418" customFormat="1" ht="25.5">
      <c r="A56" s="431" t="s">
        <v>1725</v>
      </c>
      <c r="B56" s="533" t="s">
        <v>189</v>
      </c>
      <c r="C56" s="428">
        <v>2</v>
      </c>
      <c r="D56" s="427" t="s">
        <v>5</v>
      </c>
      <c r="E56" s="429">
        <v>521.7386576000001</v>
      </c>
      <c r="F56" s="429">
        <v>1043.4773152000002</v>
      </c>
      <c r="G56" s="647">
        <f t="shared" si="4"/>
        <v>281.32148417792007</v>
      </c>
      <c r="H56" s="646">
        <f t="shared" si="5"/>
        <v>1324.7987993779202</v>
      </c>
      <c r="I56" s="430">
        <f t="shared" si="6"/>
        <v>0.005934409659989196</v>
      </c>
      <c r="J56" s="430">
        <f t="shared" si="3"/>
        <v>0.8324286424353853</v>
      </c>
      <c r="K56" s="63" t="s">
        <v>22</v>
      </c>
      <c r="L56" s="535"/>
    </row>
    <row r="57" spans="1:12" s="418" customFormat="1" ht="12.75">
      <c r="A57" s="427" t="s">
        <v>1690</v>
      </c>
      <c r="B57" s="533" t="s">
        <v>1423</v>
      </c>
      <c r="C57" s="428">
        <v>1</v>
      </c>
      <c r="D57" s="427" t="s">
        <v>1435</v>
      </c>
      <c r="E57" s="429">
        <v>998.3333333333333</v>
      </c>
      <c r="F57" s="429">
        <v>998.3333333333333</v>
      </c>
      <c r="G57" s="647">
        <f t="shared" si="4"/>
        <v>269.15066666666667</v>
      </c>
      <c r="H57" s="646">
        <f t="shared" si="5"/>
        <v>1267.484</v>
      </c>
      <c r="I57" s="430">
        <f t="shared" si="6"/>
        <v>0.0056776691653205825</v>
      </c>
      <c r="J57" s="430">
        <f t="shared" si="3"/>
        <v>0.8381063116007058</v>
      </c>
      <c r="K57" s="63" t="s">
        <v>22</v>
      </c>
      <c r="L57" s="535"/>
    </row>
    <row r="58" spans="1:12" s="418" customFormat="1" ht="51">
      <c r="A58" s="427" t="s">
        <v>1799</v>
      </c>
      <c r="B58" s="533" t="s">
        <v>218</v>
      </c>
      <c r="C58" s="428">
        <v>33</v>
      </c>
      <c r="D58" s="427" t="s">
        <v>5</v>
      </c>
      <c r="E58" s="429">
        <v>27.917667</v>
      </c>
      <c r="F58" s="429">
        <v>921.2830110000001</v>
      </c>
      <c r="G58" s="647">
        <f t="shared" si="4"/>
        <v>248.37789976560003</v>
      </c>
      <c r="H58" s="646">
        <f t="shared" si="5"/>
        <v>1169.6609107656002</v>
      </c>
      <c r="I58" s="430">
        <f t="shared" si="6"/>
        <v>0.005239472598419103</v>
      </c>
      <c r="J58" s="430">
        <f t="shared" si="3"/>
        <v>0.8433457841991249</v>
      </c>
      <c r="K58" s="63" t="s">
        <v>22</v>
      </c>
      <c r="L58" s="535"/>
    </row>
    <row r="59" spans="1:12" s="418" customFormat="1" ht="12.75">
      <c r="A59" s="431" t="s">
        <v>1689</v>
      </c>
      <c r="B59" s="533" t="s">
        <v>1422</v>
      </c>
      <c r="C59" s="428">
        <v>1</v>
      </c>
      <c r="D59" s="427" t="s">
        <v>1435</v>
      </c>
      <c r="E59" s="429">
        <v>916</v>
      </c>
      <c r="F59" s="429">
        <v>916</v>
      </c>
      <c r="G59" s="647">
        <f t="shared" si="4"/>
        <v>246.9536</v>
      </c>
      <c r="H59" s="646">
        <f t="shared" si="5"/>
        <v>1162.9536</v>
      </c>
      <c r="I59" s="430">
        <f t="shared" si="6"/>
        <v>0.005209427334324194</v>
      </c>
      <c r="J59" s="430">
        <f t="shared" si="3"/>
        <v>0.848555211533449</v>
      </c>
      <c r="K59" s="63" t="s">
        <v>22</v>
      </c>
      <c r="L59" s="535"/>
    </row>
    <row r="60" spans="1:12" s="418" customFormat="1" ht="25.5">
      <c r="A60" s="427" t="s">
        <v>1718</v>
      </c>
      <c r="B60" s="533" t="s">
        <v>204</v>
      </c>
      <c r="C60" s="428">
        <v>6</v>
      </c>
      <c r="D60" s="427" t="s">
        <v>5</v>
      </c>
      <c r="E60" s="429">
        <v>150.8</v>
      </c>
      <c r="F60" s="429">
        <v>904.8000000000001</v>
      </c>
      <c r="G60" s="647">
        <f t="shared" si="4"/>
        <v>243.93408000000002</v>
      </c>
      <c r="H60" s="646">
        <f t="shared" si="5"/>
        <v>1148.7340800000002</v>
      </c>
      <c r="I60" s="430">
        <f t="shared" si="6"/>
        <v>0.0051457312795813665</v>
      </c>
      <c r="J60" s="430">
        <f t="shared" si="3"/>
        <v>0.8537009428130304</v>
      </c>
      <c r="K60" s="63" t="s">
        <v>22</v>
      </c>
      <c r="L60" s="535"/>
    </row>
    <row r="61" spans="1:12" s="418" customFormat="1" ht="12.75">
      <c r="A61" s="502" t="s">
        <v>1663</v>
      </c>
      <c r="B61" s="533" t="s">
        <v>130</v>
      </c>
      <c r="C61" s="428">
        <v>35</v>
      </c>
      <c r="D61" s="427" t="s">
        <v>111</v>
      </c>
      <c r="E61" s="429">
        <v>24.829956</v>
      </c>
      <c r="F61" s="429">
        <v>869.04846</v>
      </c>
      <c r="G61" s="647">
        <f t="shared" si="4"/>
        <v>234.295464816</v>
      </c>
      <c r="H61" s="646">
        <f t="shared" si="5"/>
        <v>1103.343924816</v>
      </c>
      <c r="I61" s="430">
        <f t="shared" si="6"/>
        <v>0.004942406989493828</v>
      </c>
      <c r="J61" s="430">
        <f t="shared" si="3"/>
        <v>0.8586433498025242</v>
      </c>
      <c r="K61" s="63" t="s">
        <v>22</v>
      </c>
      <c r="L61" s="535"/>
    </row>
    <row r="62" spans="1:15" s="418" customFormat="1" ht="12.75">
      <c r="A62" s="431" t="s">
        <v>1658</v>
      </c>
      <c r="B62" s="533" t="s">
        <v>124</v>
      </c>
      <c r="C62" s="428">
        <v>50</v>
      </c>
      <c r="D62" s="427" t="s">
        <v>4</v>
      </c>
      <c r="E62" s="429">
        <v>15.331840512</v>
      </c>
      <c r="F62" s="429">
        <v>766.5920255999999</v>
      </c>
      <c r="G62" s="647">
        <f t="shared" si="4"/>
        <v>206.67321010176</v>
      </c>
      <c r="H62" s="646">
        <f t="shared" si="5"/>
        <v>973.2652357017599</v>
      </c>
      <c r="I62" s="430">
        <f t="shared" si="6"/>
        <v>0.004359722109645843</v>
      </c>
      <c r="J62" s="430">
        <f t="shared" si="3"/>
        <v>0.8630030719121701</v>
      </c>
      <c r="K62" s="63" t="s">
        <v>22</v>
      </c>
      <c r="L62" s="535"/>
      <c r="N62" s="419"/>
      <c r="O62" s="419"/>
    </row>
    <row r="63" spans="1:17" s="418" customFormat="1" ht="25.5">
      <c r="A63" s="427" t="s">
        <v>1675</v>
      </c>
      <c r="B63" s="533" t="s">
        <v>164</v>
      </c>
      <c r="C63" s="428">
        <v>47.059999999999995</v>
      </c>
      <c r="D63" s="427" t="s">
        <v>25</v>
      </c>
      <c r="E63" s="429">
        <v>15.494638</v>
      </c>
      <c r="F63" s="429">
        <v>729.1776642799999</v>
      </c>
      <c r="G63" s="647">
        <f t="shared" si="4"/>
        <v>196.586298289888</v>
      </c>
      <c r="H63" s="646">
        <f t="shared" si="5"/>
        <v>925.7639625698879</v>
      </c>
      <c r="I63" s="430">
        <f t="shared" si="6"/>
        <v>0.004146941109038103</v>
      </c>
      <c r="J63" s="430">
        <f t="shared" si="3"/>
        <v>0.8671500130212082</v>
      </c>
      <c r="K63" s="63" t="s">
        <v>22</v>
      </c>
      <c r="L63" s="535"/>
      <c r="N63" s="419"/>
      <c r="O63" s="419"/>
      <c r="P63" s="419"/>
      <c r="Q63" s="419"/>
    </row>
    <row r="64" spans="1:17" s="418" customFormat="1" ht="12.75">
      <c r="A64" s="427" t="s">
        <v>1735</v>
      </c>
      <c r="B64" s="533" t="s">
        <v>201</v>
      </c>
      <c r="C64" s="428">
        <v>6</v>
      </c>
      <c r="D64" s="427" t="s">
        <v>5</v>
      </c>
      <c r="E64" s="429">
        <v>119.792852</v>
      </c>
      <c r="F64" s="429">
        <v>718.757112</v>
      </c>
      <c r="G64" s="647">
        <f t="shared" si="4"/>
        <v>193.7769173952</v>
      </c>
      <c r="H64" s="646">
        <f t="shared" si="5"/>
        <v>912.5340293952</v>
      </c>
      <c r="I64" s="430">
        <f t="shared" si="6"/>
        <v>0.004087677888638337</v>
      </c>
      <c r="J64" s="430">
        <f t="shared" si="3"/>
        <v>0.8712376909098465</v>
      </c>
      <c r="K64" s="63" t="s">
        <v>22</v>
      </c>
      <c r="L64" s="535"/>
      <c r="N64" s="419"/>
      <c r="O64" s="419"/>
      <c r="P64" s="419"/>
      <c r="Q64" s="419"/>
    </row>
    <row r="65" spans="1:17" s="418" customFormat="1" ht="51">
      <c r="A65" s="431" t="s">
        <v>1811</v>
      </c>
      <c r="B65" s="533" t="s">
        <v>1251</v>
      </c>
      <c r="C65" s="428">
        <v>3</v>
      </c>
      <c r="D65" s="427" t="s">
        <v>5</v>
      </c>
      <c r="E65" s="429">
        <v>234.681984</v>
      </c>
      <c r="F65" s="429">
        <v>704.0459519999999</v>
      </c>
      <c r="G65" s="647">
        <f t="shared" si="4"/>
        <v>189.8107886592</v>
      </c>
      <c r="H65" s="646">
        <f t="shared" si="5"/>
        <v>893.8567406591999</v>
      </c>
      <c r="I65" s="430">
        <f t="shared" si="6"/>
        <v>0.004004013348219541</v>
      </c>
      <c r="J65" s="430">
        <f t="shared" si="3"/>
        <v>0.875241704258066</v>
      </c>
      <c r="K65" s="63" t="s">
        <v>22</v>
      </c>
      <c r="L65" s="536"/>
      <c r="M65" s="419"/>
      <c r="N65" s="419"/>
      <c r="O65" s="419"/>
      <c r="P65" s="419"/>
      <c r="Q65" s="419"/>
    </row>
    <row r="66" spans="1:12" s="419" customFormat="1" ht="25.5">
      <c r="A66" s="431" t="s">
        <v>1726</v>
      </c>
      <c r="B66" s="533" t="s">
        <v>198</v>
      </c>
      <c r="C66" s="428">
        <v>1</v>
      </c>
      <c r="D66" s="427" t="s">
        <v>5</v>
      </c>
      <c r="E66" s="429">
        <v>666.26626888</v>
      </c>
      <c r="F66" s="429">
        <v>666.26626888</v>
      </c>
      <c r="G66" s="647">
        <f t="shared" si="4"/>
        <v>179.625386090048</v>
      </c>
      <c r="H66" s="646">
        <f t="shared" si="5"/>
        <v>845.891654970048</v>
      </c>
      <c r="I66" s="430">
        <f t="shared" si="6"/>
        <v>0.00378915470856077</v>
      </c>
      <c r="J66" s="430">
        <f t="shared" si="3"/>
        <v>0.8790308589666268</v>
      </c>
      <c r="K66" s="63" t="s">
        <v>22</v>
      </c>
      <c r="L66" s="536"/>
    </row>
    <row r="67" spans="1:12" s="419" customFormat="1" ht="12.75">
      <c r="A67" s="431" t="s">
        <v>1648</v>
      </c>
      <c r="B67" s="533" t="s">
        <v>116</v>
      </c>
      <c r="C67" s="428">
        <v>60</v>
      </c>
      <c r="D67" s="427" t="s">
        <v>25</v>
      </c>
      <c r="E67" s="429">
        <v>10.28558</v>
      </c>
      <c r="F67" s="429">
        <v>617.1347999999999</v>
      </c>
      <c r="G67" s="647">
        <f t="shared" si="4"/>
        <v>166.37954208</v>
      </c>
      <c r="H67" s="646">
        <f t="shared" si="5"/>
        <v>783.5143420799999</v>
      </c>
      <c r="I67" s="430">
        <f t="shared" si="6"/>
        <v>0.003509736786116478</v>
      </c>
      <c r="J67" s="430">
        <f t="shared" si="3"/>
        <v>0.8825405957527432</v>
      </c>
      <c r="K67" s="63" t="s">
        <v>22</v>
      </c>
      <c r="L67" s="536"/>
    </row>
    <row r="68" spans="1:12" s="419" customFormat="1" ht="12.75">
      <c r="A68" s="431" t="s">
        <v>1676</v>
      </c>
      <c r="B68" s="533" t="s">
        <v>171</v>
      </c>
      <c r="C68" s="428">
        <v>64.86</v>
      </c>
      <c r="D68" s="427" t="s">
        <v>25</v>
      </c>
      <c r="E68" s="429">
        <v>9.289886472</v>
      </c>
      <c r="F68" s="429">
        <v>602.54203657392</v>
      </c>
      <c r="G68" s="647">
        <f t="shared" si="4"/>
        <v>162.44533306032884</v>
      </c>
      <c r="H68" s="646">
        <f t="shared" si="5"/>
        <v>764.9873696342488</v>
      </c>
      <c r="I68" s="430">
        <f t="shared" si="6"/>
        <v>0.0034267455845060557</v>
      </c>
      <c r="J68" s="430">
        <f t="shared" si="3"/>
        <v>0.8859673413372493</v>
      </c>
      <c r="K68" s="63" t="s">
        <v>22</v>
      </c>
      <c r="L68" s="536"/>
    </row>
    <row r="69" spans="1:12" s="419" customFormat="1" ht="25.5">
      <c r="A69" s="427" t="s">
        <v>1763</v>
      </c>
      <c r="B69" s="533" t="s">
        <v>233</v>
      </c>
      <c r="C69" s="428">
        <v>5</v>
      </c>
      <c r="D69" s="427" t="s">
        <v>110</v>
      </c>
      <c r="E69" s="429">
        <v>117.18911704000001</v>
      </c>
      <c r="F69" s="429">
        <v>585.9455852000001</v>
      </c>
      <c r="G69" s="647">
        <f t="shared" si="4"/>
        <v>157.97092976992002</v>
      </c>
      <c r="H69" s="646">
        <f t="shared" si="5"/>
        <v>743.9165149699202</v>
      </c>
      <c r="I69" s="430">
        <f t="shared" si="6"/>
        <v>0.003332359113501601</v>
      </c>
      <c r="J69" s="430">
        <f t="shared" si="3"/>
        <v>0.8892997004507509</v>
      </c>
      <c r="K69" s="63" t="s">
        <v>22</v>
      </c>
      <c r="L69" s="536"/>
    </row>
    <row r="70" spans="1:12" s="419" customFormat="1" ht="38.25">
      <c r="A70" s="502" t="s">
        <v>1719</v>
      </c>
      <c r="B70" s="533" t="s">
        <v>202</v>
      </c>
      <c r="C70" s="428">
        <v>2</v>
      </c>
      <c r="D70" s="427" t="s">
        <v>5</v>
      </c>
      <c r="E70" s="429">
        <v>291.06422684</v>
      </c>
      <c r="F70" s="429">
        <v>582.12845368</v>
      </c>
      <c r="G70" s="647">
        <f t="shared" si="4"/>
        <v>156.941831112128</v>
      </c>
      <c r="H70" s="646">
        <f t="shared" si="5"/>
        <v>739.070284792128</v>
      </c>
      <c r="I70" s="430">
        <f t="shared" si="6"/>
        <v>0.0033106505225856627</v>
      </c>
      <c r="J70" s="430">
        <f t="shared" si="3"/>
        <v>0.8926103509733365</v>
      </c>
      <c r="K70" s="63" t="s">
        <v>22</v>
      </c>
      <c r="L70" s="536"/>
    </row>
    <row r="71" spans="1:12" s="419" customFormat="1" ht="12.75">
      <c r="A71" s="502" t="s">
        <v>1660</v>
      </c>
      <c r="B71" s="533" t="s">
        <v>134</v>
      </c>
      <c r="C71" s="428">
        <v>70</v>
      </c>
      <c r="D71" s="427" t="s">
        <v>25</v>
      </c>
      <c r="E71" s="429">
        <v>7.86226392</v>
      </c>
      <c r="F71" s="429">
        <v>550.3584744</v>
      </c>
      <c r="G71" s="647">
        <f t="shared" si="4"/>
        <v>148.37664469824</v>
      </c>
      <c r="H71" s="646">
        <f t="shared" si="5"/>
        <v>698.7351190982399</v>
      </c>
      <c r="I71" s="430">
        <f t="shared" si="6"/>
        <v>0.003129969956568037</v>
      </c>
      <c r="J71" s="430">
        <f t="shared" si="3"/>
        <v>0.8957403209299045</v>
      </c>
      <c r="K71" s="63" t="s">
        <v>22</v>
      </c>
      <c r="L71" s="536"/>
    </row>
    <row r="72" spans="1:12" s="419" customFormat="1" ht="12.75">
      <c r="A72" s="431" t="s">
        <v>1693</v>
      </c>
      <c r="B72" s="533" t="s">
        <v>267</v>
      </c>
      <c r="C72" s="428">
        <v>31.43</v>
      </c>
      <c r="D72" s="427" t="s">
        <v>4</v>
      </c>
      <c r="E72" s="429">
        <v>17.119602</v>
      </c>
      <c r="F72" s="429">
        <v>538.06909086</v>
      </c>
      <c r="G72" s="647">
        <f t="shared" si="4"/>
        <v>145.063426895856</v>
      </c>
      <c r="H72" s="646">
        <f t="shared" si="5"/>
        <v>683.1325177558559</v>
      </c>
      <c r="I72" s="430">
        <f t="shared" si="6"/>
        <v>0.0030600784166823713</v>
      </c>
      <c r="J72" s="430">
        <f t="shared" si="3"/>
        <v>0.8988003993465868</v>
      </c>
      <c r="K72" s="63" t="s">
        <v>22</v>
      </c>
      <c r="L72" s="536"/>
    </row>
    <row r="73" spans="1:12" s="419" customFormat="1" ht="12.75">
      <c r="A73" s="431" t="s">
        <v>1767</v>
      </c>
      <c r="B73" s="533" t="s">
        <v>260</v>
      </c>
      <c r="C73" s="428">
        <v>14</v>
      </c>
      <c r="D73" s="427" t="s">
        <v>5</v>
      </c>
      <c r="E73" s="429">
        <v>38.268608</v>
      </c>
      <c r="F73" s="429">
        <v>535.7605120000001</v>
      </c>
      <c r="G73" s="647">
        <f t="shared" si="4"/>
        <v>144.44103403520003</v>
      </c>
      <c r="H73" s="646">
        <f t="shared" si="5"/>
        <v>680.2015460352001</v>
      </c>
      <c r="I73" s="430">
        <f t="shared" si="6"/>
        <v>0.0030469491876248095</v>
      </c>
      <c r="J73" s="430">
        <f t="shared" si="3"/>
        <v>0.9018473485342117</v>
      </c>
      <c r="K73" s="63" t="s">
        <v>22</v>
      </c>
      <c r="L73" s="536"/>
    </row>
    <row r="74" spans="1:12" s="419" customFormat="1" ht="25.5">
      <c r="A74" s="502" t="s">
        <v>1810</v>
      </c>
      <c r="B74" s="533" t="s">
        <v>231</v>
      </c>
      <c r="C74" s="428">
        <v>3</v>
      </c>
      <c r="D74" s="427" t="s">
        <v>5</v>
      </c>
      <c r="E74" s="429">
        <v>170.261984</v>
      </c>
      <c r="F74" s="429">
        <v>510.78595200000007</v>
      </c>
      <c r="G74" s="647">
        <f t="shared" si="4"/>
        <v>137.7078926592</v>
      </c>
      <c r="H74" s="646">
        <f t="shared" si="5"/>
        <v>648.4938446592</v>
      </c>
      <c r="I74" s="430">
        <f t="shared" si="6"/>
        <v>0.0029049151750410542</v>
      </c>
      <c r="J74" s="430">
        <f t="shared" si="3"/>
        <v>0.9047522637092528</v>
      </c>
      <c r="K74" s="63" t="s">
        <v>22</v>
      </c>
      <c r="L74" s="536"/>
    </row>
    <row r="75" spans="1:12" s="419" customFormat="1" ht="12.75">
      <c r="A75" s="431" t="s">
        <v>1652</v>
      </c>
      <c r="B75" s="533" t="s">
        <v>131</v>
      </c>
      <c r="C75" s="428">
        <v>16.59</v>
      </c>
      <c r="D75" s="427" t="s">
        <v>25</v>
      </c>
      <c r="E75" s="429">
        <v>30.662495999999997</v>
      </c>
      <c r="F75" s="429">
        <v>508.69080863999994</v>
      </c>
      <c r="G75" s="647">
        <f t="shared" si="4"/>
        <v>137.143042009344</v>
      </c>
      <c r="H75" s="646">
        <f t="shared" si="5"/>
        <v>645.833850649344</v>
      </c>
      <c r="I75" s="430">
        <f t="shared" si="6"/>
        <v>0.0028929997852059977</v>
      </c>
      <c r="J75" s="430">
        <f t="shared" si="3"/>
        <v>0.9076452634944587</v>
      </c>
      <c r="K75" s="63" t="s">
        <v>22</v>
      </c>
      <c r="L75" s="536"/>
    </row>
    <row r="76" spans="1:12" s="419" customFormat="1" ht="25.5">
      <c r="A76" s="427" t="s">
        <v>1674</v>
      </c>
      <c r="B76" s="533" t="s">
        <v>368</v>
      </c>
      <c r="C76" s="428">
        <v>29</v>
      </c>
      <c r="D76" s="427" t="s">
        <v>25</v>
      </c>
      <c r="E76" s="429">
        <v>17.121392511111107</v>
      </c>
      <c r="F76" s="429">
        <v>496.52038282222213</v>
      </c>
      <c r="G76" s="647">
        <f t="shared" si="4"/>
        <v>133.8618952088711</v>
      </c>
      <c r="H76" s="646">
        <f t="shared" si="5"/>
        <v>630.3822780310932</v>
      </c>
      <c r="I76" s="430">
        <f t="shared" si="6"/>
        <v>0.002823784775462005</v>
      </c>
      <c r="J76" s="430">
        <f t="shared" si="3"/>
        <v>0.9104690482699207</v>
      </c>
      <c r="K76" s="63" t="s">
        <v>22</v>
      </c>
      <c r="L76" s="536"/>
    </row>
    <row r="77" spans="1:12" s="419" customFormat="1" ht="12.75">
      <c r="A77" s="431" t="s">
        <v>1749</v>
      </c>
      <c r="B77" s="533" t="s">
        <v>154</v>
      </c>
      <c r="C77" s="428">
        <v>3</v>
      </c>
      <c r="D77" s="427" t="s">
        <v>5</v>
      </c>
      <c r="E77" s="429">
        <v>156.500964</v>
      </c>
      <c r="F77" s="429">
        <v>469.50289200000003</v>
      </c>
      <c r="G77" s="647">
        <f aca="true" t="shared" si="7" ref="G77:G108">F77*$G$12</f>
        <v>126.57797968320001</v>
      </c>
      <c r="H77" s="646">
        <f aca="true" t="shared" si="8" ref="H77:H108">F77+G77</f>
        <v>596.0808716832</v>
      </c>
      <c r="I77" s="430">
        <f aca="true" t="shared" si="9" ref="I77:I108">H77/$H$186</f>
        <v>0.0026701323134596727</v>
      </c>
      <c r="J77" s="430">
        <f t="shared" si="3"/>
        <v>0.9131391805833804</v>
      </c>
      <c r="K77" s="63" t="s">
        <v>22</v>
      </c>
      <c r="L77" s="536"/>
    </row>
    <row r="78" spans="1:12" s="419" customFormat="1" ht="25.5">
      <c r="A78" s="427" t="s">
        <v>1791</v>
      </c>
      <c r="B78" s="533" t="s">
        <v>227</v>
      </c>
      <c r="C78" s="428">
        <v>1</v>
      </c>
      <c r="D78" s="427" t="s">
        <v>5</v>
      </c>
      <c r="E78" s="429">
        <v>434.8812004</v>
      </c>
      <c r="F78" s="429">
        <v>434.8812004</v>
      </c>
      <c r="G78" s="647">
        <f t="shared" si="7"/>
        <v>117.24397162784001</v>
      </c>
      <c r="H78" s="646">
        <f t="shared" si="8"/>
        <v>552.12517202784</v>
      </c>
      <c r="I78" s="430">
        <f t="shared" si="9"/>
        <v>0.002473233638152268</v>
      </c>
      <c r="J78" s="430">
        <f t="shared" si="3"/>
        <v>0.9156124142215326</v>
      </c>
      <c r="K78" s="63" t="s">
        <v>22</v>
      </c>
      <c r="L78" s="536"/>
    </row>
    <row r="79" spans="1:12" s="419" customFormat="1" ht="25.5">
      <c r="A79" s="502" t="s">
        <v>1742</v>
      </c>
      <c r="B79" s="533" t="s">
        <v>193</v>
      </c>
      <c r="C79" s="428">
        <v>8</v>
      </c>
      <c r="D79" s="427" t="s">
        <v>5</v>
      </c>
      <c r="E79" s="429">
        <v>53.230444000000006</v>
      </c>
      <c r="F79" s="429">
        <v>425.84355200000005</v>
      </c>
      <c r="G79" s="647">
        <f t="shared" si="7"/>
        <v>114.80742161920001</v>
      </c>
      <c r="H79" s="646">
        <f t="shared" si="8"/>
        <v>540.6509736192</v>
      </c>
      <c r="I79" s="430">
        <f t="shared" si="9"/>
        <v>0.0024218351964350507</v>
      </c>
      <c r="J79" s="430">
        <f aca="true" t="shared" si="10" ref="J79:J126">J78+I79</f>
        <v>0.9180342494179676</v>
      </c>
      <c r="K79" s="63" t="s">
        <v>22</v>
      </c>
      <c r="L79" s="536"/>
    </row>
    <row r="80" spans="1:12" s="419" customFormat="1" ht="12.75">
      <c r="A80" s="502" t="s">
        <v>1751</v>
      </c>
      <c r="B80" s="533" t="s">
        <v>253</v>
      </c>
      <c r="C80" s="428">
        <v>15.8</v>
      </c>
      <c r="D80" s="427" t="s">
        <v>4</v>
      </c>
      <c r="E80" s="429">
        <v>26.853023999999998</v>
      </c>
      <c r="F80" s="429">
        <v>424.2777792</v>
      </c>
      <c r="G80" s="647">
        <f t="shared" si="7"/>
        <v>114.38528927232001</v>
      </c>
      <c r="H80" s="646">
        <f t="shared" si="8"/>
        <v>538.66306847232</v>
      </c>
      <c r="I80" s="430">
        <f t="shared" si="9"/>
        <v>0.002412930415186512</v>
      </c>
      <c r="J80" s="430">
        <f t="shared" si="10"/>
        <v>0.9204471798331542</v>
      </c>
      <c r="K80" s="63" t="s">
        <v>22</v>
      </c>
      <c r="L80" s="536"/>
    </row>
    <row r="81" spans="1:12" s="419" customFormat="1" ht="38.25">
      <c r="A81" s="427" t="s">
        <v>1736</v>
      </c>
      <c r="B81" s="533" t="s">
        <v>187</v>
      </c>
      <c r="C81" s="428">
        <v>2</v>
      </c>
      <c r="D81" s="427" t="s">
        <v>5</v>
      </c>
      <c r="E81" s="429">
        <v>193.33233040000002</v>
      </c>
      <c r="F81" s="429">
        <v>386.66466080000004</v>
      </c>
      <c r="G81" s="647">
        <f t="shared" si="7"/>
        <v>104.24479255168</v>
      </c>
      <c r="H81" s="646">
        <f t="shared" si="8"/>
        <v>490.90945335168004</v>
      </c>
      <c r="I81" s="430">
        <f t="shared" si="9"/>
        <v>0.002199019053699468</v>
      </c>
      <c r="J81" s="430">
        <f t="shared" si="10"/>
        <v>0.9226461988868536</v>
      </c>
      <c r="K81" s="63" t="s">
        <v>22</v>
      </c>
      <c r="L81" s="536"/>
    </row>
    <row r="82" spans="1:12" s="419" customFormat="1" ht="38.25">
      <c r="A82" s="502" t="s">
        <v>1745</v>
      </c>
      <c r="B82" s="533" t="s">
        <v>196</v>
      </c>
      <c r="C82" s="428">
        <v>2.5300000000000007</v>
      </c>
      <c r="D82" s="427" t="s">
        <v>25</v>
      </c>
      <c r="E82" s="429">
        <v>147.7613262</v>
      </c>
      <c r="F82" s="429">
        <v>373.8361552860001</v>
      </c>
      <c r="G82" s="647">
        <f t="shared" si="7"/>
        <v>100.78622746510564</v>
      </c>
      <c r="H82" s="646">
        <f t="shared" si="8"/>
        <v>474.62238275110576</v>
      </c>
      <c r="I82" s="430">
        <f t="shared" si="9"/>
        <v>0.0021260614474951454</v>
      </c>
      <c r="J82" s="430">
        <f t="shared" si="10"/>
        <v>0.9247722603343488</v>
      </c>
      <c r="K82" s="63" t="s">
        <v>22</v>
      </c>
      <c r="L82" s="536"/>
    </row>
    <row r="83" spans="1:12" s="419" customFormat="1" ht="12.75">
      <c r="A83" s="431" t="s">
        <v>1647</v>
      </c>
      <c r="B83" s="533" t="s">
        <v>114</v>
      </c>
      <c r="C83" s="428">
        <v>4.2</v>
      </c>
      <c r="D83" s="427" t="s">
        <v>25</v>
      </c>
      <c r="E83" s="429">
        <v>85.208105875</v>
      </c>
      <c r="F83" s="429">
        <v>357.874044675</v>
      </c>
      <c r="G83" s="647">
        <f t="shared" si="7"/>
        <v>96.48284244438</v>
      </c>
      <c r="H83" s="646">
        <f t="shared" si="8"/>
        <v>454.35688711937996</v>
      </c>
      <c r="I83" s="430">
        <f t="shared" si="9"/>
        <v>0.0020352825661300246</v>
      </c>
      <c r="J83" s="430">
        <f t="shared" si="10"/>
        <v>0.9268075429004788</v>
      </c>
      <c r="K83" s="63" t="s">
        <v>22</v>
      </c>
      <c r="L83" s="536"/>
    </row>
    <row r="84" spans="1:12" s="419" customFormat="1" ht="12.75">
      <c r="A84" s="502" t="s">
        <v>1750</v>
      </c>
      <c r="B84" s="533" t="s">
        <v>252</v>
      </c>
      <c r="C84" s="428">
        <v>18.5</v>
      </c>
      <c r="D84" s="427" t="s">
        <v>4</v>
      </c>
      <c r="E84" s="429">
        <v>19.138924</v>
      </c>
      <c r="F84" s="429">
        <v>354.070094</v>
      </c>
      <c r="G84" s="647">
        <f t="shared" si="7"/>
        <v>95.4572973424</v>
      </c>
      <c r="H84" s="646">
        <f t="shared" si="8"/>
        <v>449.5273913424</v>
      </c>
      <c r="I84" s="430">
        <f t="shared" si="9"/>
        <v>0.0020136489366270054</v>
      </c>
      <c r="J84" s="430">
        <f t="shared" si="10"/>
        <v>0.9288211918371059</v>
      </c>
      <c r="K84" s="63" t="s">
        <v>22</v>
      </c>
      <c r="L84" s="536"/>
    </row>
    <row r="85" spans="1:12" s="419" customFormat="1" ht="12.75">
      <c r="A85" s="502" t="s">
        <v>1665</v>
      </c>
      <c r="B85" s="533" t="s">
        <v>133</v>
      </c>
      <c r="C85" s="428">
        <v>25</v>
      </c>
      <c r="D85" s="427" t="s">
        <v>4</v>
      </c>
      <c r="E85" s="429">
        <v>13.632404999999999</v>
      </c>
      <c r="F85" s="429">
        <v>340.81012499999997</v>
      </c>
      <c r="G85" s="647">
        <f t="shared" si="7"/>
        <v>91.8824097</v>
      </c>
      <c r="H85" s="646">
        <f t="shared" si="8"/>
        <v>432.69253469999995</v>
      </c>
      <c r="I85" s="430">
        <f t="shared" si="9"/>
        <v>0.001938237533831272</v>
      </c>
      <c r="J85" s="430">
        <f t="shared" si="10"/>
        <v>0.9307594293709371</v>
      </c>
      <c r="K85" s="63" t="s">
        <v>22</v>
      </c>
      <c r="L85" s="536"/>
    </row>
    <row r="86" spans="1:12" s="419" customFormat="1" ht="12.75">
      <c r="A86" s="431" t="s">
        <v>1677</v>
      </c>
      <c r="B86" s="533" t="s">
        <v>170</v>
      </c>
      <c r="C86" s="428">
        <v>27.636999999999997</v>
      </c>
      <c r="D86" s="427" t="s">
        <v>25</v>
      </c>
      <c r="E86" s="429">
        <v>12.086791884</v>
      </c>
      <c r="F86" s="429">
        <v>334.042667298108</v>
      </c>
      <c r="G86" s="647">
        <f t="shared" si="7"/>
        <v>90.05790310356991</v>
      </c>
      <c r="H86" s="646">
        <f t="shared" si="8"/>
        <v>424.1005704016779</v>
      </c>
      <c r="I86" s="430">
        <f t="shared" si="9"/>
        <v>0.001899750002023282</v>
      </c>
      <c r="J86" s="430">
        <f t="shared" si="10"/>
        <v>0.9326591793729604</v>
      </c>
      <c r="K86" s="63" t="s">
        <v>22</v>
      </c>
      <c r="L86" s="536"/>
    </row>
    <row r="87" spans="1:12" s="419" customFormat="1" ht="114.75">
      <c r="A87" s="427" t="s">
        <v>1793</v>
      </c>
      <c r="B87" s="533" t="s">
        <v>212</v>
      </c>
      <c r="C87" s="428">
        <v>4</v>
      </c>
      <c r="D87" s="427" t="s">
        <v>5</v>
      </c>
      <c r="E87" s="429">
        <v>83.45174799999998</v>
      </c>
      <c r="F87" s="429">
        <v>333.8069919999999</v>
      </c>
      <c r="G87" s="647">
        <f t="shared" si="7"/>
        <v>89.99436504319998</v>
      </c>
      <c r="H87" s="646">
        <f t="shared" si="8"/>
        <v>423.8013570431999</v>
      </c>
      <c r="I87" s="430">
        <f t="shared" si="9"/>
        <v>0.0018984096817831193</v>
      </c>
      <c r="J87" s="430">
        <f t="shared" si="10"/>
        <v>0.9345575890547435</v>
      </c>
      <c r="K87" s="63" t="s">
        <v>22</v>
      </c>
      <c r="L87" s="536"/>
    </row>
    <row r="88" spans="1:12" s="419" customFormat="1" ht="12.75">
      <c r="A88" s="431" t="s">
        <v>1673</v>
      </c>
      <c r="B88" s="533" t="s">
        <v>109</v>
      </c>
      <c r="C88" s="428">
        <v>2</v>
      </c>
      <c r="D88" s="427" t="s">
        <v>25</v>
      </c>
      <c r="E88" s="429">
        <v>166.869936</v>
      </c>
      <c r="F88" s="429">
        <v>333.739872</v>
      </c>
      <c r="G88" s="647">
        <f t="shared" si="7"/>
        <v>89.9762694912</v>
      </c>
      <c r="H88" s="646">
        <f t="shared" si="8"/>
        <v>423.7161414912</v>
      </c>
      <c r="I88" s="430">
        <f t="shared" si="9"/>
        <v>0.0018980279604264823</v>
      </c>
      <c r="J88" s="430">
        <f t="shared" si="10"/>
        <v>0.93645561701517</v>
      </c>
      <c r="K88" s="63" t="s">
        <v>22</v>
      </c>
      <c r="L88" s="536"/>
    </row>
    <row r="89" spans="1:12" s="419" customFormat="1" ht="12.75">
      <c r="A89" s="502" t="s">
        <v>1776</v>
      </c>
      <c r="B89" s="533" t="s">
        <v>1219</v>
      </c>
      <c r="C89" s="428">
        <v>5</v>
      </c>
      <c r="D89" s="427" t="s">
        <v>5</v>
      </c>
      <c r="E89" s="429">
        <v>66.251024</v>
      </c>
      <c r="F89" s="429">
        <v>331.25512000000003</v>
      </c>
      <c r="G89" s="647">
        <f t="shared" si="7"/>
        <v>89.306380352</v>
      </c>
      <c r="H89" s="646">
        <f t="shared" si="8"/>
        <v>420.56150035200005</v>
      </c>
      <c r="I89" s="430">
        <f t="shared" si="9"/>
        <v>0.0018838968086930582</v>
      </c>
      <c r="J89" s="430">
        <f t="shared" si="10"/>
        <v>0.938339513823863</v>
      </c>
      <c r="K89" s="63" t="s">
        <v>22</v>
      </c>
      <c r="L89" s="536"/>
    </row>
    <row r="90" spans="1:12" s="419" customFormat="1" ht="25.5">
      <c r="A90" s="427" t="s">
        <v>1688</v>
      </c>
      <c r="B90" s="533" t="s">
        <v>175</v>
      </c>
      <c r="C90" s="428">
        <v>4.6</v>
      </c>
      <c r="D90" s="427" t="s">
        <v>4</v>
      </c>
      <c r="E90" s="429">
        <v>69.796319</v>
      </c>
      <c r="F90" s="429">
        <v>321.06306739999997</v>
      </c>
      <c r="G90" s="647">
        <f t="shared" si="7"/>
        <v>86.55860297103999</v>
      </c>
      <c r="H90" s="646">
        <f t="shared" si="8"/>
        <v>407.62167037103995</v>
      </c>
      <c r="I90" s="430">
        <f t="shared" si="9"/>
        <v>0.0018259330997331122</v>
      </c>
      <c r="J90" s="430">
        <f t="shared" si="10"/>
        <v>0.9401654469235962</v>
      </c>
      <c r="K90" s="63" t="s">
        <v>22</v>
      </c>
      <c r="L90" s="536"/>
    </row>
    <row r="91" spans="1:12" s="419" customFormat="1" ht="25.5">
      <c r="A91" s="503" t="s">
        <v>1744</v>
      </c>
      <c r="B91" s="533" t="s">
        <v>195</v>
      </c>
      <c r="C91" s="428">
        <v>6</v>
      </c>
      <c r="D91" s="427" t="s">
        <v>5</v>
      </c>
      <c r="E91" s="429">
        <v>50.146768</v>
      </c>
      <c r="F91" s="429">
        <v>300.880608</v>
      </c>
      <c r="G91" s="647">
        <f t="shared" si="7"/>
        <v>81.1174119168</v>
      </c>
      <c r="H91" s="646">
        <f t="shared" si="8"/>
        <v>381.9980199168</v>
      </c>
      <c r="I91" s="430">
        <f t="shared" si="9"/>
        <v>0.0017111524712699593</v>
      </c>
      <c r="J91" s="430">
        <f t="shared" si="10"/>
        <v>0.9418765993948661</v>
      </c>
      <c r="K91" s="63" t="s">
        <v>22</v>
      </c>
      <c r="L91" s="536"/>
    </row>
    <row r="92" spans="1:12" s="419" customFormat="1" ht="12.75">
      <c r="A92" s="431" t="s">
        <v>1766</v>
      </c>
      <c r="B92" s="533" t="s">
        <v>259</v>
      </c>
      <c r="C92" s="428">
        <v>8</v>
      </c>
      <c r="D92" s="427" t="s">
        <v>5</v>
      </c>
      <c r="E92" s="429">
        <v>36.068784</v>
      </c>
      <c r="F92" s="429">
        <v>288.550272</v>
      </c>
      <c r="G92" s="647">
        <f t="shared" si="7"/>
        <v>77.7931533312</v>
      </c>
      <c r="H92" s="646">
        <f t="shared" si="8"/>
        <v>366.3434253312</v>
      </c>
      <c r="I92" s="430">
        <f t="shared" si="9"/>
        <v>0.001641028028693757</v>
      </c>
      <c r="J92" s="430">
        <f t="shared" si="10"/>
        <v>0.9435176274235598</v>
      </c>
      <c r="K92" s="63" t="s">
        <v>22</v>
      </c>
      <c r="L92" s="536"/>
    </row>
    <row r="93" spans="1:12" s="419" customFormat="1" ht="12.75">
      <c r="A93" s="427" t="s">
        <v>1819</v>
      </c>
      <c r="B93" s="533" t="s">
        <v>271</v>
      </c>
      <c r="C93" s="428">
        <v>1</v>
      </c>
      <c r="D93" s="427" t="s">
        <v>1435</v>
      </c>
      <c r="E93" s="429">
        <v>288.145992</v>
      </c>
      <c r="F93" s="429">
        <v>288.149992</v>
      </c>
      <c r="G93" s="647">
        <f t="shared" si="7"/>
        <v>77.6852378432</v>
      </c>
      <c r="H93" s="646">
        <f t="shared" si="8"/>
        <v>365.8352298432</v>
      </c>
      <c r="I93" s="430">
        <f t="shared" si="9"/>
        <v>0.00163875157719443</v>
      </c>
      <c r="J93" s="430">
        <f t="shared" si="10"/>
        <v>0.9451563790007542</v>
      </c>
      <c r="K93" s="63" t="s">
        <v>22</v>
      </c>
      <c r="L93" s="536"/>
    </row>
    <row r="94" spans="1:12" s="419" customFormat="1" ht="25.5">
      <c r="A94" s="427" t="s">
        <v>1747</v>
      </c>
      <c r="B94" s="533" t="s">
        <v>151</v>
      </c>
      <c r="C94" s="428">
        <v>2</v>
      </c>
      <c r="D94" s="427" t="s">
        <v>5</v>
      </c>
      <c r="E94" s="429">
        <v>141.19297940799999</v>
      </c>
      <c r="F94" s="429">
        <v>282.38595881599997</v>
      </c>
      <c r="G94" s="647">
        <f t="shared" si="7"/>
        <v>76.13125449679359</v>
      </c>
      <c r="H94" s="646">
        <f t="shared" si="8"/>
        <v>358.51721331279356</v>
      </c>
      <c r="I94" s="430">
        <f t="shared" si="9"/>
        <v>0.0016059706688705418</v>
      </c>
      <c r="J94" s="430">
        <f t="shared" si="10"/>
        <v>0.9467623496696248</v>
      </c>
      <c r="K94" s="63" t="s">
        <v>22</v>
      </c>
      <c r="L94" s="536"/>
    </row>
    <row r="95" spans="1:12" s="419" customFormat="1" ht="25.5">
      <c r="A95" s="502" t="s">
        <v>1741</v>
      </c>
      <c r="B95" s="533" t="s">
        <v>1381</v>
      </c>
      <c r="C95" s="428">
        <v>8</v>
      </c>
      <c r="D95" s="427" t="s">
        <v>5</v>
      </c>
      <c r="E95" s="429">
        <v>34.644046626666665</v>
      </c>
      <c r="F95" s="429">
        <v>277.1523730133333</v>
      </c>
      <c r="G95" s="647">
        <f t="shared" si="7"/>
        <v>74.72027976439466</v>
      </c>
      <c r="H95" s="646">
        <f t="shared" si="8"/>
        <v>351.872652777728</v>
      </c>
      <c r="I95" s="430">
        <f t="shared" si="9"/>
        <v>0.0015762064931751896</v>
      </c>
      <c r="J95" s="430">
        <f t="shared" si="10"/>
        <v>0.9483385561627999</v>
      </c>
      <c r="K95" s="63" t="s">
        <v>22</v>
      </c>
      <c r="L95" s="536"/>
    </row>
    <row r="96" spans="1:12" s="419" customFormat="1" ht="38.25">
      <c r="A96" s="502" t="s">
        <v>1727</v>
      </c>
      <c r="B96" s="533" t="s">
        <v>190</v>
      </c>
      <c r="C96" s="428">
        <v>8</v>
      </c>
      <c r="D96" s="427" t="s">
        <v>5</v>
      </c>
      <c r="E96" s="429">
        <v>33.353232</v>
      </c>
      <c r="F96" s="429">
        <v>266.825856</v>
      </c>
      <c r="G96" s="647">
        <f t="shared" si="7"/>
        <v>71.9362507776</v>
      </c>
      <c r="H96" s="646">
        <f t="shared" si="8"/>
        <v>338.76210677759997</v>
      </c>
      <c r="I96" s="430">
        <f t="shared" si="9"/>
        <v>0.0015174780652301868</v>
      </c>
      <c r="J96" s="430">
        <f t="shared" si="10"/>
        <v>0.9498560342280301</v>
      </c>
      <c r="K96" s="63" t="s">
        <v>22</v>
      </c>
      <c r="L96" s="536"/>
    </row>
    <row r="97" spans="1:12" s="419" customFormat="1" ht="25.5">
      <c r="A97" s="502" t="s">
        <v>1796</v>
      </c>
      <c r="B97" s="533" t="s">
        <v>216</v>
      </c>
      <c r="C97" s="428">
        <v>8</v>
      </c>
      <c r="D97" s="427" t="s">
        <v>5</v>
      </c>
      <c r="E97" s="429">
        <v>31.935334</v>
      </c>
      <c r="F97" s="429">
        <v>255.482672</v>
      </c>
      <c r="G97" s="647">
        <f t="shared" si="7"/>
        <v>68.8781283712</v>
      </c>
      <c r="H97" s="646">
        <f t="shared" si="8"/>
        <v>324.3608003712</v>
      </c>
      <c r="I97" s="430">
        <f t="shared" si="9"/>
        <v>0.0014529677019246533</v>
      </c>
      <c r="J97" s="430">
        <f t="shared" si="10"/>
        <v>0.9513090019299547</v>
      </c>
      <c r="K97" s="63" t="s">
        <v>22</v>
      </c>
      <c r="L97" s="536"/>
    </row>
    <row r="98" spans="1:12" s="419" customFormat="1" ht="25.5">
      <c r="A98" s="502" t="s">
        <v>1792</v>
      </c>
      <c r="B98" s="533" t="s">
        <v>228</v>
      </c>
      <c r="C98" s="428">
        <v>1</v>
      </c>
      <c r="D98" s="427" t="s">
        <v>5</v>
      </c>
      <c r="E98" s="429">
        <v>250.57180060000002</v>
      </c>
      <c r="F98" s="429">
        <v>250.57180060000002</v>
      </c>
      <c r="G98" s="647">
        <f t="shared" si="7"/>
        <v>67.55415744176001</v>
      </c>
      <c r="H98" s="646">
        <f t="shared" si="8"/>
        <v>318.12595804176004</v>
      </c>
      <c r="I98" s="430">
        <f t="shared" si="9"/>
        <v>0.001425038850716672</v>
      </c>
      <c r="J98" s="430">
        <f t="shared" si="10"/>
        <v>0.9527340407806714</v>
      </c>
      <c r="K98" s="63" t="s">
        <v>22</v>
      </c>
      <c r="L98" s="536"/>
    </row>
    <row r="99" spans="1:12" s="419" customFormat="1" ht="25.5">
      <c r="A99" s="502" t="s">
        <v>1644</v>
      </c>
      <c r="B99" s="533" t="s">
        <v>122</v>
      </c>
      <c r="C99" s="428">
        <v>3</v>
      </c>
      <c r="D99" s="427" t="s">
        <v>111</v>
      </c>
      <c r="E99" s="429">
        <v>82.84325415199999</v>
      </c>
      <c r="F99" s="429">
        <v>248.52976245599996</v>
      </c>
      <c r="G99" s="647">
        <f t="shared" si="7"/>
        <v>67.0036239581376</v>
      </c>
      <c r="H99" s="646">
        <f t="shared" si="8"/>
        <v>315.53338641413757</v>
      </c>
      <c r="I99" s="430">
        <f t="shared" si="9"/>
        <v>0.0014134254780910317</v>
      </c>
      <c r="J99" s="430">
        <f t="shared" si="10"/>
        <v>0.9541474662587623</v>
      </c>
      <c r="K99" s="63" t="s">
        <v>22</v>
      </c>
      <c r="L99" s="536"/>
    </row>
    <row r="100" spans="1:12" s="419" customFormat="1" ht="12.75">
      <c r="A100" s="502" t="s">
        <v>1734</v>
      </c>
      <c r="B100" s="533" t="s">
        <v>200</v>
      </c>
      <c r="C100" s="428">
        <v>8</v>
      </c>
      <c r="D100" s="427" t="s">
        <v>5</v>
      </c>
      <c r="E100" s="429">
        <v>30.634265</v>
      </c>
      <c r="F100" s="429">
        <v>245.07412</v>
      </c>
      <c r="G100" s="647">
        <f t="shared" si="7"/>
        <v>66.071982752</v>
      </c>
      <c r="H100" s="646">
        <f t="shared" si="8"/>
        <v>311.146102752</v>
      </c>
      <c r="I100" s="430">
        <f t="shared" si="9"/>
        <v>0.0013937727288902265</v>
      </c>
      <c r="J100" s="430">
        <f t="shared" si="10"/>
        <v>0.9555412389876525</v>
      </c>
      <c r="K100" s="63" t="s">
        <v>22</v>
      </c>
      <c r="L100" s="536"/>
    </row>
    <row r="101" spans="1:12" s="419" customFormat="1" ht="25.5">
      <c r="A101" s="502" t="s">
        <v>1722</v>
      </c>
      <c r="B101" s="533" t="s">
        <v>185</v>
      </c>
      <c r="C101" s="428">
        <v>2</v>
      </c>
      <c r="D101" s="427" t="s">
        <v>5</v>
      </c>
      <c r="E101" s="429">
        <v>116.7507768</v>
      </c>
      <c r="F101" s="429">
        <v>233.5015536</v>
      </c>
      <c r="G101" s="647">
        <f t="shared" si="7"/>
        <v>62.95201885056</v>
      </c>
      <c r="H101" s="646">
        <f t="shared" si="8"/>
        <v>296.45357245056</v>
      </c>
      <c r="I101" s="430">
        <f t="shared" si="9"/>
        <v>0.0013279578339858143</v>
      </c>
      <c r="J101" s="430">
        <f t="shared" si="10"/>
        <v>0.9568691968216383</v>
      </c>
      <c r="K101" s="63" t="s">
        <v>22</v>
      </c>
      <c r="L101" s="537"/>
    </row>
    <row r="102" spans="1:12" s="419" customFormat="1" ht="25.5">
      <c r="A102" s="427" t="s">
        <v>1666</v>
      </c>
      <c r="B102" s="533" t="s">
        <v>132</v>
      </c>
      <c r="C102" s="428">
        <v>9</v>
      </c>
      <c r="D102" s="427" t="s">
        <v>111</v>
      </c>
      <c r="E102" s="429">
        <v>25.380692000000003</v>
      </c>
      <c r="F102" s="429">
        <v>228.42622800000004</v>
      </c>
      <c r="G102" s="647">
        <f t="shared" si="7"/>
        <v>61.583711068800014</v>
      </c>
      <c r="H102" s="646">
        <f t="shared" si="8"/>
        <v>290.00993906880007</v>
      </c>
      <c r="I102" s="430">
        <f t="shared" si="9"/>
        <v>0.0012990937074451646</v>
      </c>
      <c r="J102" s="430">
        <f t="shared" si="10"/>
        <v>0.9581682905290835</v>
      </c>
      <c r="K102" s="63" t="s">
        <v>22</v>
      </c>
      <c r="L102" s="536"/>
    </row>
    <row r="103" spans="1:12" s="419" customFormat="1" ht="38.25">
      <c r="A103" s="502" t="s">
        <v>1808</v>
      </c>
      <c r="B103" s="533" t="s">
        <v>229</v>
      </c>
      <c r="C103" s="428">
        <v>1</v>
      </c>
      <c r="D103" s="427" t="s">
        <v>5</v>
      </c>
      <c r="E103" s="429">
        <v>224.506002</v>
      </c>
      <c r="F103" s="429">
        <v>224.506002</v>
      </c>
      <c r="G103" s="647">
        <f t="shared" si="7"/>
        <v>60.5268181392</v>
      </c>
      <c r="H103" s="646">
        <f t="shared" si="8"/>
        <v>285.0328201392</v>
      </c>
      <c r="I103" s="430">
        <f t="shared" si="9"/>
        <v>0.001276798802989784</v>
      </c>
      <c r="J103" s="430">
        <f t="shared" si="10"/>
        <v>0.9594450893320733</v>
      </c>
      <c r="K103" s="63" t="s">
        <v>22</v>
      </c>
      <c r="L103" s="536"/>
    </row>
    <row r="104" spans="1:12" s="419" customFormat="1" ht="12.75">
      <c r="A104" s="427" t="s">
        <v>1756</v>
      </c>
      <c r="B104" s="533" t="s">
        <v>1536</v>
      </c>
      <c r="C104" s="428">
        <v>22</v>
      </c>
      <c r="D104" s="427" t="s">
        <v>5</v>
      </c>
      <c r="E104" s="429">
        <v>10.109823999999998</v>
      </c>
      <c r="F104" s="429">
        <v>222.41612799999996</v>
      </c>
      <c r="G104" s="647">
        <f t="shared" si="7"/>
        <v>59.96338810879999</v>
      </c>
      <c r="H104" s="646">
        <f t="shared" si="8"/>
        <v>282.3795161088</v>
      </c>
      <c r="I104" s="430">
        <f t="shared" si="9"/>
        <v>0.0012649133807835684</v>
      </c>
      <c r="J104" s="430">
        <f t="shared" si="10"/>
        <v>0.9607100027128569</v>
      </c>
      <c r="K104" s="63" t="s">
        <v>22</v>
      </c>
      <c r="L104" s="536"/>
    </row>
    <row r="105" spans="1:12" s="419" customFormat="1" ht="12.75">
      <c r="A105" s="431" t="s">
        <v>1664</v>
      </c>
      <c r="B105" s="533" t="s">
        <v>108</v>
      </c>
      <c r="C105" s="428">
        <v>12</v>
      </c>
      <c r="D105" s="427" t="s">
        <v>111</v>
      </c>
      <c r="E105" s="429">
        <v>18.294733799999996</v>
      </c>
      <c r="F105" s="429">
        <v>219.53680559999995</v>
      </c>
      <c r="G105" s="647">
        <f t="shared" si="7"/>
        <v>59.18712278975999</v>
      </c>
      <c r="H105" s="646">
        <f t="shared" si="8"/>
        <v>278.7239283897599</v>
      </c>
      <c r="I105" s="430">
        <f t="shared" si="9"/>
        <v>0.0012485382488895812</v>
      </c>
      <c r="J105" s="430">
        <f t="shared" si="10"/>
        <v>0.9619585409617465</v>
      </c>
      <c r="K105" s="63" t="s">
        <v>22</v>
      </c>
      <c r="L105" s="536"/>
    </row>
    <row r="106" spans="1:12" s="419" customFormat="1" ht="12.75">
      <c r="A106" s="431" t="s">
        <v>1815</v>
      </c>
      <c r="B106" s="533" t="s">
        <v>270</v>
      </c>
      <c r="C106" s="428">
        <v>1</v>
      </c>
      <c r="D106" s="427" t="s">
        <v>1435</v>
      </c>
      <c r="E106" s="429">
        <v>214.446592</v>
      </c>
      <c r="F106" s="429">
        <v>214.446592</v>
      </c>
      <c r="G106" s="647">
        <f t="shared" si="7"/>
        <v>57.814801203200005</v>
      </c>
      <c r="H106" s="646">
        <f t="shared" si="8"/>
        <v>272.2613932032</v>
      </c>
      <c r="I106" s="430">
        <f t="shared" si="9"/>
        <v>0.0012195894520933056</v>
      </c>
      <c r="J106" s="430">
        <f t="shared" si="10"/>
        <v>0.9631781304138398</v>
      </c>
      <c r="K106" s="63" t="s">
        <v>22</v>
      </c>
      <c r="L106" s="536"/>
    </row>
    <row r="107" spans="1:12" s="419" customFormat="1" ht="25.5">
      <c r="A107" s="431" t="s">
        <v>1762</v>
      </c>
      <c r="B107" s="533" t="s">
        <v>1542</v>
      </c>
      <c r="C107" s="428">
        <v>10</v>
      </c>
      <c r="D107" s="427" t="s">
        <v>5</v>
      </c>
      <c r="E107" s="429">
        <v>20.7612</v>
      </c>
      <c r="F107" s="429">
        <v>207.612</v>
      </c>
      <c r="G107" s="647">
        <f t="shared" si="7"/>
        <v>55.9721952</v>
      </c>
      <c r="H107" s="646">
        <f t="shared" si="8"/>
        <v>263.5841952</v>
      </c>
      <c r="I107" s="430">
        <f t="shared" si="9"/>
        <v>0.0011807201176132255</v>
      </c>
      <c r="J107" s="430">
        <f t="shared" si="10"/>
        <v>0.9643588505314531</v>
      </c>
      <c r="K107" s="63" t="s">
        <v>22</v>
      </c>
      <c r="L107" s="536"/>
    </row>
    <row r="108" spans="1:12" s="419" customFormat="1" ht="12.75">
      <c r="A108" s="431" t="s">
        <v>1692</v>
      </c>
      <c r="B108" s="533" t="s">
        <v>266</v>
      </c>
      <c r="C108" s="428">
        <v>11.6</v>
      </c>
      <c r="D108" s="427" t="s">
        <v>4</v>
      </c>
      <c r="E108" s="429">
        <v>17.380346</v>
      </c>
      <c r="F108" s="429">
        <v>201.61201359999998</v>
      </c>
      <c r="G108" s="647">
        <f t="shared" si="7"/>
        <v>54.354598866559996</v>
      </c>
      <c r="H108" s="646">
        <f t="shared" si="8"/>
        <v>255.96661246655998</v>
      </c>
      <c r="I108" s="430">
        <f t="shared" si="9"/>
        <v>0.0011465973084890623</v>
      </c>
      <c r="J108" s="430">
        <f t="shared" si="10"/>
        <v>0.9655054478399422</v>
      </c>
      <c r="K108" s="63" t="s">
        <v>22</v>
      </c>
      <c r="L108" s="536"/>
    </row>
    <row r="109" spans="1:12" s="419" customFormat="1" ht="12.75">
      <c r="A109" s="502" t="s">
        <v>1743</v>
      </c>
      <c r="B109" s="533" t="s">
        <v>194</v>
      </c>
      <c r="C109" s="428">
        <v>4</v>
      </c>
      <c r="D109" s="427" t="s">
        <v>5</v>
      </c>
      <c r="E109" s="429">
        <v>48.053383999999994</v>
      </c>
      <c r="F109" s="429">
        <v>192.21353599999998</v>
      </c>
      <c r="G109" s="647">
        <f aca="true" t="shared" si="11" ref="G109:G139">F109*$G$12</f>
        <v>51.820769305599995</v>
      </c>
      <c r="H109" s="646">
        <f aca="true" t="shared" si="12" ref="H109:H139">F109+G109</f>
        <v>244.03430530559996</v>
      </c>
      <c r="I109" s="430">
        <f aca="true" t="shared" si="13" ref="I109:I140">H109/$H$186</f>
        <v>0.0010931467778007723</v>
      </c>
      <c r="J109" s="430">
        <f t="shared" si="10"/>
        <v>0.966598594617743</v>
      </c>
      <c r="K109" s="63" t="s">
        <v>22</v>
      </c>
      <c r="L109" s="536"/>
    </row>
    <row r="110" spans="1:12" s="419" customFormat="1" ht="25.5">
      <c r="A110" s="502" t="s">
        <v>1788</v>
      </c>
      <c r="B110" s="533" t="s">
        <v>1506</v>
      </c>
      <c r="C110" s="428">
        <v>8</v>
      </c>
      <c r="D110" s="427" t="s">
        <v>6</v>
      </c>
      <c r="E110" s="429">
        <v>23.135982393999996</v>
      </c>
      <c r="F110" s="429">
        <v>185.08785915199996</v>
      </c>
      <c r="G110" s="647">
        <f t="shared" si="11"/>
        <v>49.89968682737919</v>
      </c>
      <c r="H110" s="646">
        <f t="shared" si="12"/>
        <v>234.98754597937915</v>
      </c>
      <c r="I110" s="430">
        <f t="shared" si="13"/>
        <v>0.0010526220007838155</v>
      </c>
      <c r="J110" s="430">
        <f t="shared" si="10"/>
        <v>0.9676512166185268</v>
      </c>
      <c r="K110" s="63" t="s">
        <v>22</v>
      </c>
      <c r="L110" s="536"/>
    </row>
    <row r="111" spans="1:12" s="419" customFormat="1" ht="12.75">
      <c r="A111" s="431" t="s">
        <v>1682</v>
      </c>
      <c r="B111" s="533" t="s">
        <v>166</v>
      </c>
      <c r="C111" s="428">
        <v>58.07</v>
      </c>
      <c r="D111" s="427" t="s">
        <v>25</v>
      </c>
      <c r="E111" s="429">
        <v>3.082839628</v>
      </c>
      <c r="F111" s="429">
        <v>179.02049719796</v>
      </c>
      <c r="G111" s="647">
        <f t="shared" si="11"/>
        <v>48.26392604457001</v>
      </c>
      <c r="H111" s="646">
        <f t="shared" si="12"/>
        <v>227.28442324253</v>
      </c>
      <c r="I111" s="430">
        <f t="shared" si="13"/>
        <v>0.001018116016929433</v>
      </c>
      <c r="J111" s="430">
        <f t="shared" si="10"/>
        <v>0.9686693326354563</v>
      </c>
      <c r="K111" s="63" t="s">
        <v>22</v>
      </c>
      <c r="L111" s="536"/>
    </row>
    <row r="112" spans="1:12" s="419" customFormat="1" ht="25.5">
      <c r="A112" s="502" t="s">
        <v>1723</v>
      </c>
      <c r="B112" s="533" t="s">
        <v>183</v>
      </c>
      <c r="C112" s="428">
        <v>6</v>
      </c>
      <c r="D112" s="427" t="s">
        <v>5</v>
      </c>
      <c r="E112" s="429">
        <v>29.1807768</v>
      </c>
      <c r="F112" s="429">
        <v>175.0846608</v>
      </c>
      <c r="G112" s="647">
        <f t="shared" si="11"/>
        <v>47.20282455168</v>
      </c>
      <c r="H112" s="646">
        <f t="shared" si="12"/>
        <v>222.28748535168</v>
      </c>
      <c r="I112" s="430">
        <f t="shared" si="13"/>
        <v>0.0009957323338344974</v>
      </c>
      <c r="J112" s="430">
        <f t="shared" si="10"/>
        <v>0.9696650649692908</v>
      </c>
      <c r="K112" s="63" t="s">
        <v>22</v>
      </c>
      <c r="L112" s="536"/>
    </row>
    <row r="113" spans="1:12" s="419" customFormat="1" ht="12.75">
      <c r="A113" s="427" t="s">
        <v>1827</v>
      </c>
      <c r="B113" s="533" t="s">
        <v>1393</v>
      </c>
      <c r="C113" s="428">
        <v>2</v>
      </c>
      <c r="D113" s="427" t="s">
        <v>5</v>
      </c>
      <c r="E113" s="429">
        <v>83.820268</v>
      </c>
      <c r="F113" s="429">
        <v>167.640536</v>
      </c>
      <c r="G113" s="647">
        <f t="shared" si="11"/>
        <v>45.1958885056</v>
      </c>
      <c r="H113" s="646">
        <f t="shared" si="12"/>
        <v>212.8364245056</v>
      </c>
      <c r="I113" s="430">
        <f t="shared" si="13"/>
        <v>0.0009533964962654576</v>
      </c>
      <c r="J113" s="430">
        <f t="shared" si="10"/>
        <v>0.9706184614655563</v>
      </c>
      <c r="K113" s="63" t="s">
        <v>22</v>
      </c>
      <c r="L113" s="536"/>
    </row>
    <row r="114" spans="1:12" s="419" customFormat="1" ht="12.75">
      <c r="A114" s="427" t="s">
        <v>1773</v>
      </c>
      <c r="B114" s="533" t="s">
        <v>1336</v>
      </c>
      <c r="C114" s="428">
        <v>1</v>
      </c>
      <c r="D114" s="427" t="s">
        <v>1337</v>
      </c>
      <c r="E114" s="429">
        <v>167.37850799999998</v>
      </c>
      <c r="F114" s="429">
        <v>167.37850799999998</v>
      </c>
      <c r="G114" s="647">
        <f t="shared" si="11"/>
        <v>45.1252457568</v>
      </c>
      <c r="H114" s="646">
        <f t="shared" si="12"/>
        <v>212.5037537568</v>
      </c>
      <c r="I114" s="430">
        <f t="shared" si="13"/>
        <v>0.0009519063043161581</v>
      </c>
      <c r="J114" s="430">
        <f t="shared" si="10"/>
        <v>0.9715703677698725</v>
      </c>
      <c r="K114" s="63" t="s">
        <v>22</v>
      </c>
      <c r="L114" s="536"/>
    </row>
    <row r="115" spans="1:12" s="419" customFormat="1" ht="12.75">
      <c r="A115" s="427" t="s">
        <v>1757</v>
      </c>
      <c r="B115" s="533" t="s">
        <v>1537</v>
      </c>
      <c r="C115" s="428">
        <v>8</v>
      </c>
      <c r="D115" s="427" t="s">
        <v>5</v>
      </c>
      <c r="E115" s="429">
        <v>20.821199999999997</v>
      </c>
      <c r="F115" s="429">
        <v>166.56959999999998</v>
      </c>
      <c r="G115" s="647">
        <f t="shared" si="11"/>
        <v>44.907164159999994</v>
      </c>
      <c r="H115" s="646">
        <f t="shared" si="12"/>
        <v>211.47676415999996</v>
      </c>
      <c r="I115" s="430">
        <f t="shared" si="13"/>
        <v>0.00094730592500813</v>
      </c>
      <c r="J115" s="430">
        <f t="shared" si="10"/>
        <v>0.9725176736948806</v>
      </c>
      <c r="K115" s="63" t="s">
        <v>22</v>
      </c>
      <c r="L115" s="536"/>
    </row>
    <row r="116" spans="1:12" s="419" customFormat="1" ht="12.75">
      <c r="A116" s="431" t="s">
        <v>1770</v>
      </c>
      <c r="B116" s="533" t="s">
        <v>262</v>
      </c>
      <c r="C116" s="428">
        <v>3</v>
      </c>
      <c r="D116" s="427" t="s">
        <v>5</v>
      </c>
      <c r="E116" s="429">
        <v>51.802575999999995</v>
      </c>
      <c r="F116" s="429">
        <v>155.407728</v>
      </c>
      <c r="G116" s="647">
        <f t="shared" si="11"/>
        <v>41.8979234688</v>
      </c>
      <c r="H116" s="646">
        <f t="shared" si="12"/>
        <v>197.3056514688</v>
      </c>
      <c r="I116" s="430">
        <f t="shared" si="13"/>
        <v>0.000883826709834519</v>
      </c>
      <c r="J116" s="430">
        <f t="shared" si="10"/>
        <v>0.9734015004047152</v>
      </c>
      <c r="K116" s="63" t="s">
        <v>22</v>
      </c>
      <c r="L116" s="536"/>
    </row>
    <row r="117" spans="1:12" s="419" customFormat="1" ht="12.75">
      <c r="A117" s="427" t="s">
        <v>1706</v>
      </c>
      <c r="B117" s="533" t="s">
        <v>243</v>
      </c>
      <c r="C117" s="428">
        <v>17</v>
      </c>
      <c r="D117" s="427" t="s">
        <v>5</v>
      </c>
      <c r="E117" s="429">
        <v>8.952210000000001</v>
      </c>
      <c r="F117" s="429">
        <v>152.18757000000002</v>
      </c>
      <c r="G117" s="647">
        <f t="shared" si="11"/>
        <v>41.029768872000005</v>
      </c>
      <c r="H117" s="646">
        <f t="shared" si="12"/>
        <v>193.21733887200003</v>
      </c>
      <c r="I117" s="430">
        <f t="shared" si="13"/>
        <v>0.0008655131955266122</v>
      </c>
      <c r="J117" s="430">
        <f t="shared" si="10"/>
        <v>0.9742670136002418</v>
      </c>
      <c r="K117" s="63" t="s">
        <v>22</v>
      </c>
      <c r="L117" s="536"/>
    </row>
    <row r="118" spans="1:12" s="419" customFormat="1" ht="12.75">
      <c r="A118" s="502" t="s">
        <v>1691</v>
      </c>
      <c r="B118" s="533" t="s">
        <v>265</v>
      </c>
      <c r="C118" s="428">
        <v>6</v>
      </c>
      <c r="D118" s="427" t="s">
        <v>4</v>
      </c>
      <c r="E118" s="429">
        <v>24.073377999999998</v>
      </c>
      <c r="F118" s="429">
        <v>144.440268</v>
      </c>
      <c r="G118" s="647">
        <f t="shared" si="11"/>
        <v>38.9410962528</v>
      </c>
      <c r="H118" s="646">
        <f t="shared" si="12"/>
        <v>183.3813642528</v>
      </c>
      <c r="I118" s="430">
        <f t="shared" si="13"/>
        <v>0.0008214531444282884</v>
      </c>
      <c r="J118" s="430">
        <f t="shared" si="10"/>
        <v>0.9750884667446701</v>
      </c>
      <c r="K118" s="63" t="s">
        <v>22</v>
      </c>
      <c r="L118" s="536"/>
    </row>
    <row r="119" spans="1:12" s="419" customFormat="1" ht="12.75">
      <c r="A119" s="502" t="s">
        <v>1730</v>
      </c>
      <c r="B119" s="533" t="s">
        <v>235</v>
      </c>
      <c r="C119" s="428">
        <v>1</v>
      </c>
      <c r="D119" s="427" t="s">
        <v>5</v>
      </c>
      <c r="E119" s="429">
        <v>142.425954224</v>
      </c>
      <c r="F119" s="429">
        <v>142.425954224</v>
      </c>
      <c r="G119" s="647">
        <f t="shared" si="11"/>
        <v>38.3980372587904</v>
      </c>
      <c r="H119" s="646">
        <f t="shared" si="12"/>
        <v>180.8239914827904</v>
      </c>
      <c r="I119" s="430">
        <f t="shared" si="13"/>
        <v>0.0008099974443795982</v>
      </c>
      <c r="J119" s="430">
        <f t="shared" si="10"/>
        <v>0.9758984641890497</v>
      </c>
      <c r="K119" s="63" t="s">
        <v>22</v>
      </c>
      <c r="L119" s="536"/>
    </row>
    <row r="120" spans="1:12" s="419" customFormat="1" ht="25.5">
      <c r="A120" s="431" t="s">
        <v>1709</v>
      </c>
      <c r="B120" s="533" t="s">
        <v>1317</v>
      </c>
      <c r="C120" s="428">
        <v>9</v>
      </c>
      <c r="D120" s="427" t="s">
        <v>5</v>
      </c>
      <c r="E120" s="429">
        <v>15.575597999999998</v>
      </c>
      <c r="F120" s="429">
        <v>140.18038199999998</v>
      </c>
      <c r="G120" s="647">
        <f t="shared" si="11"/>
        <v>37.7926309872</v>
      </c>
      <c r="H120" s="646">
        <f t="shared" si="12"/>
        <v>177.97301298719998</v>
      </c>
      <c r="I120" s="430">
        <f t="shared" si="13"/>
        <v>0.0007972265433698768</v>
      </c>
      <c r="J120" s="430">
        <f t="shared" si="10"/>
        <v>0.9766956907324196</v>
      </c>
      <c r="K120" s="63" t="s">
        <v>22</v>
      </c>
      <c r="L120" s="536"/>
    </row>
    <row r="121" spans="1:12" s="419" customFormat="1" ht="51">
      <c r="A121" s="427" t="s">
        <v>1784</v>
      </c>
      <c r="B121" s="533" t="s">
        <v>1502</v>
      </c>
      <c r="C121" s="428">
        <v>9</v>
      </c>
      <c r="D121" s="427" t="s">
        <v>5</v>
      </c>
      <c r="E121" s="429">
        <v>14.910239592</v>
      </c>
      <c r="F121" s="429">
        <v>134.192156328</v>
      </c>
      <c r="G121" s="647">
        <f t="shared" si="11"/>
        <v>36.178205346028804</v>
      </c>
      <c r="H121" s="646">
        <f t="shared" si="12"/>
        <v>170.3703616740288</v>
      </c>
      <c r="I121" s="430">
        <f t="shared" si="13"/>
        <v>0.0007631706192434373</v>
      </c>
      <c r="J121" s="430">
        <f t="shared" si="10"/>
        <v>0.977458861351663</v>
      </c>
      <c r="K121" s="63" t="s">
        <v>22</v>
      </c>
      <c r="L121" s="536"/>
    </row>
    <row r="122" spans="1:12" s="419" customFormat="1" ht="25.5">
      <c r="A122" s="431" t="s">
        <v>1650</v>
      </c>
      <c r="B122" s="533" t="s">
        <v>115</v>
      </c>
      <c r="C122" s="428">
        <v>5</v>
      </c>
      <c r="D122" s="427" t="s">
        <v>57</v>
      </c>
      <c r="E122" s="429">
        <v>26.702112</v>
      </c>
      <c r="F122" s="429">
        <v>133.51056</v>
      </c>
      <c r="G122" s="647">
        <f t="shared" si="11"/>
        <v>35.994446976</v>
      </c>
      <c r="H122" s="646">
        <f t="shared" si="12"/>
        <v>169.505006976</v>
      </c>
      <c r="I122" s="430">
        <f t="shared" si="13"/>
        <v>0.0007592942802237231</v>
      </c>
      <c r="J122" s="430">
        <f t="shared" si="10"/>
        <v>0.9782181556318867</v>
      </c>
      <c r="K122" s="63" t="s">
        <v>22</v>
      </c>
      <c r="L122" s="536"/>
    </row>
    <row r="123" spans="1:12" s="419" customFormat="1" ht="25.5">
      <c r="A123" s="431" t="s">
        <v>1698</v>
      </c>
      <c r="B123" s="533" t="s">
        <v>240</v>
      </c>
      <c r="C123" s="428">
        <v>18</v>
      </c>
      <c r="D123" s="427" t="s">
        <v>5</v>
      </c>
      <c r="E123" s="429">
        <v>7.147776</v>
      </c>
      <c r="F123" s="429">
        <v>128.659968</v>
      </c>
      <c r="G123" s="647">
        <f t="shared" si="11"/>
        <v>34.6867273728</v>
      </c>
      <c r="H123" s="646">
        <f t="shared" si="12"/>
        <v>163.34669537279999</v>
      </c>
      <c r="I123" s="430">
        <f t="shared" si="13"/>
        <v>0.0007317082468695154</v>
      </c>
      <c r="J123" s="430">
        <f t="shared" si="10"/>
        <v>0.9789498638787563</v>
      </c>
      <c r="K123" s="63" t="s">
        <v>22</v>
      </c>
      <c r="L123" s="536"/>
    </row>
    <row r="124" spans="1:12" s="419" customFormat="1" ht="12.75">
      <c r="A124" s="431" t="s">
        <v>1759</v>
      </c>
      <c r="B124" s="533" t="s">
        <v>1539</v>
      </c>
      <c r="C124" s="428">
        <v>13</v>
      </c>
      <c r="D124" s="427" t="s">
        <v>5</v>
      </c>
      <c r="E124" s="429">
        <v>9.629824</v>
      </c>
      <c r="F124" s="429">
        <v>125.18771199999999</v>
      </c>
      <c r="G124" s="647">
        <f t="shared" si="11"/>
        <v>33.7506071552</v>
      </c>
      <c r="H124" s="646">
        <f t="shared" si="12"/>
        <v>158.9383191552</v>
      </c>
      <c r="I124" s="430">
        <f t="shared" si="13"/>
        <v>0.0007119610139894158</v>
      </c>
      <c r="J124" s="430">
        <f t="shared" si="10"/>
        <v>0.9796618248927457</v>
      </c>
      <c r="K124" s="63" t="s">
        <v>22</v>
      </c>
      <c r="L124" s="536"/>
    </row>
    <row r="125" spans="1:12" s="419" customFormat="1" ht="12.75">
      <c r="A125" s="502" t="s">
        <v>1695</v>
      </c>
      <c r="B125" s="533" t="s">
        <v>269</v>
      </c>
      <c r="C125" s="428">
        <v>35.85</v>
      </c>
      <c r="D125" s="427" t="s">
        <v>4</v>
      </c>
      <c r="E125" s="429">
        <v>3.41145</v>
      </c>
      <c r="F125" s="429">
        <v>122.3004825</v>
      </c>
      <c r="G125" s="647">
        <f t="shared" si="11"/>
        <v>32.972210082000004</v>
      </c>
      <c r="H125" s="646">
        <f t="shared" si="12"/>
        <v>155.272692582</v>
      </c>
      <c r="I125" s="430">
        <f t="shared" si="13"/>
        <v>0.0006955409132494953</v>
      </c>
      <c r="J125" s="430">
        <f t="shared" si="10"/>
        <v>0.9803573658059952</v>
      </c>
      <c r="K125" s="63" t="s">
        <v>22</v>
      </c>
      <c r="L125" s="536"/>
    </row>
    <row r="126" spans="1:12" s="419" customFormat="1" ht="38.25">
      <c r="A126" s="427" t="s">
        <v>1728</v>
      </c>
      <c r="B126" s="533" t="s">
        <v>197</v>
      </c>
      <c r="C126" s="428">
        <v>3</v>
      </c>
      <c r="D126" s="427" t="s">
        <v>5</v>
      </c>
      <c r="E126" s="429">
        <v>38.57926592</v>
      </c>
      <c r="F126" s="429">
        <v>115.73779775999999</v>
      </c>
      <c r="G126" s="647">
        <f t="shared" si="11"/>
        <v>31.202910276096</v>
      </c>
      <c r="H126" s="646">
        <f t="shared" si="12"/>
        <v>146.940708036096</v>
      </c>
      <c r="I126" s="430">
        <f t="shared" si="13"/>
        <v>0.0006582179555299449</v>
      </c>
      <c r="J126" s="430">
        <f t="shared" si="10"/>
        <v>0.9810155837615251</v>
      </c>
      <c r="K126" s="63" t="s">
        <v>22</v>
      </c>
      <c r="L126" s="536"/>
    </row>
    <row r="127" spans="1:12" s="419" customFormat="1" ht="12.75">
      <c r="A127" s="502" t="s">
        <v>1671</v>
      </c>
      <c r="B127" s="533" t="s">
        <v>163</v>
      </c>
      <c r="C127" s="428">
        <v>18.6</v>
      </c>
      <c r="D127" s="427" t="s">
        <v>25</v>
      </c>
      <c r="E127" s="429">
        <v>6.099686</v>
      </c>
      <c r="F127" s="429">
        <v>113.45415960000001</v>
      </c>
      <c r="G127" s="647">
        <f t="shared" si="11"/>
        <v>30.587241428160002</v>
      </c>
      <c r="H127" s="646">
        <f t="shared" si="12"/>
        <v>144.04140102816</v>
      </c>
      <c r="I127" s="430">
        <f t="shared" si="13"/>
        <v>0.0006452305679181438</v>
      </c>
      <c r="J127" s="430">
        <f aca="true" t="shared" si="14" ref="J127:J182">J126+I127</f>
        <v>0.9816608143294432</v>
      </c>
      <c r="K127" s="63" t="s">
        <v>22</v>
      </c>
      <c r="L127" s="536"/>
    </row>
    <row r="128" spans="1:12" s="419" customFormat="1" ht="12.75">
      <c r="A128" s="431" t="s">
        <v>1760</v>
      </c>
      <c r="B128" s="533" t="s">
        <v>1540</v>
      </c>
      <c r="C128" s="428">
        <v>7</v>
      </c>
      <c r="D128" s="427" t="s">
        <v>5</v>
      </c>
      <c r="E128" s="429">
        <v>15.770511999999998</v>
      </c>
      <c r="F128" s="429">
        <v>110.39358399999999</v>
      </c>
      <c r="G128" s="647">
        <f t="shared" si="11"/>
        <v>29.7621102464</v>
      </c>
      <c r="H128" s="646">
        <f t="shared" si="12"/>
        <v>140.1556942464</v>
      </c>
      <c r="I128" s="430">
        <f t="shared" si="13"/>
        <v>0.0006278246222965218</v>
      </c>
      <c r="J128" s="430">
        <f t="shared" si="14"/>
        <v>0.9822886389517397</v>
      </c>
      <c r="K128" s="63" t="s">
        <v>22</v>
      </c>
      <c r="L128" s="536"/>
    </row>
    <row r="129" spans="1:12" s="419" customFormat="1" ht="12.75">
      <c r="A129" s="431" t="s">
        <v>1825</v>
      </c>
      <c r="B129" s="533" t="s">
        <v>1391</v>
      </c>
      <c r="C129" s="428">
        <v>1</v>
      </c>
      <c r="D129" s="427" t="s">
        <v>5</v>
      </c>
      <c r="E129" s="429">
        <v>108.747608</v>
      </c>
      <c r="F129" s="429">
        <v>108.747608</v>
      </c>
      <c r="G129" s="647">
        <f t="shared" si="11"/>
        <v>29.3183551168</v>
      </c>
      <c r="H129" s="646">
        <f t="shared" si="12"/>
        <v>138.0659631168</v>
      </c>
      <c r="I129" s="430">
        <f t="shared" si="13"/>
        <v>0.0006184637135999698</v>
      </c>
      <c r="J129" s="430">
        <f t="shared" si="14"/>
        <v>0.9829071026653396</v>
      </c>
      <c r="K129" s="63" t="s">
        <v>22</v>
      </c>
      <c r="L129" s="536"/>
    </row>
    <row r="130" spans="1:12" s="419" customFormat="1" ht="12.75">
      <c r="A130" s="431" t="s">
        <v>1659</v>
      </c>
      <c r="B130" s="533" t="s">
        <v>138</v>
      </c>
      <c r="C130" s="428">
        <v>5.6</v>
      </c>
      <c r="D130" s="427" t="s">
        <v>4</v>
      </c>
      <c r="E130" s="429">
        <v>18.3846754</v>
      </c>
      <c r="F130" s="429">
        <v>102.95418224</v>
      </c>
      <c r="G130" s="647">
        <f t="shared" si="11"/>
        <v>27.756447531903998</v>
      </c>
      <c r="H130" s="646">
        <f t="shared" si="12"/>
        <v>130.710629771904</v>
      </c>
      <c r="I130" s="430">
        <f t="shared" si="13"/>
        <v>0.0005855156453537668</v>
      </c>
      <c r="J130" s="430">
        <f t="shared" si="14"/>
        <v>0.9834926183106935</v>
      </c>
      <c r="K130" s="63" t="s">
        <v>22</v>
      </c>
      <c r="L130" s="536"/>
    </row>
    <row r="131" spans="1:12" s="419" customFormat="1" ht="12.75">
      <c r="A131" s="431" t="s">
        <v>1826</v>
      </c>
      <c r="B131" s="533" t="s">
        <v>1392</v>
      </c>
      <c r="C131" s="428">
        <v>1</v>
      </c>
      <c r="D131" s="427" t="s">
        <v>5</v>
      </c>
      <c r="E131" s="429">
        <v>102.227608</v>
      </c>
      <c r="F131" s="429">
        <v>102.227608</v>
      </c>
      <c r="G131" s="647">
        <f t="shared" si="11"/>
        <v>27.5605631168</v>
      </c>
      <c r="H131" s="646">
        <f t="shared" si="12"/>
        <v>129.78817111680002</v>
      </c>
      <c r="I131" s="430">
        <f t="shared" si="13"/>
        <v>0.0005813835103032519</v>
      </c>
      <c r="J131" s="430">
        <f t="shared" si="14"/>
        <v>0.9840740018209967</v>
      </c>
      <c r="K131" s="63" t="s">
        <v>22</v>
      </c>
      <c r="L131" s="536"/>
    </row>
    <row r="132" spans="1:12" s="419" customFormat="1" ht="12.75">
      <c r="A132" s="431" t="s">
        <v>1765</v>
      </c>
      <c r="B132" s="533" t="s">
        <v>258</v>
      </c>
      <c r="C132" s="428">
        <v>6</v>
      </c>
      <c r="D132" s="427" t="s">
        <v>5</v>
      </c>
      <c r="E132" s="429">
        <v>16.633616</v>
      </c>
      <c r="F132" s="429">
        <v>99.80169599999999</v>
      </c>
      <c r="G132" s="647">
        <f t="shared" si="11"/>
        <v>26.9065372416</v>
      </c>
      <c r="H132" s="646">
        <f t="shared" si="12"/>
        <v>126.7082332416</v>
      </c>
      <c r="I132" s="430">
        <f t="shared" si="13"/>
        <v>0.0005675869903431371</v>
      </c>
      <c r="J132" s="430">
        <f t="shared" si="14"/>
        <v>0.9846415888113398</v>
      </c>
      <c r="K132" s="63" t="s">
        <v>22</v>
      </c>
      <c r="L132" s="536"/>
    </row>
    <row r="133" spans="1:12" s="419" customFormat="1" ht="25.5">
      <c r="A133" s="427" t="s">
        <v>1731</v>
      </c>
      <c r="B133" s="533" t="s">
        <v>236</v>
      </c>
      <c r="C133" s="428">
        <v>1</v>
      </c>
      <c r="D133" s="427" t="s">
        <v>5</v>
      </c>
      <c r="E133" s="429">
        <v>96.23492895199999</v>
      </c>
      <c r="F133" s="429">
        <v>96.23492895199999</v>
      </c>
      <c r="G133" s="647">
        <f t="shared" si="11"/>
        <v>25.944936845459196</v>
      </c>
      <c r="H133" s="646">
        <f t="shared" si="12"/>
        <v>122.17986579745919</v>
      </c>
      <c r="I133" s="430">
        <f t="shared" si="13"/>
        <v>0.0005473022591695366</v>
      </c>
      <c r="J133" s="430">
        <f t="shared" si="14"/>
        <v>0.9851888910705093</v>
      </c>
      <c r="K133" s="63" t="s">
        <v>22</v>
      </c>
      <c r="L133" s="536"/>
    </row>
    <row r="134" spans="1:12" s="419" customFormat="1" ht="12.75">
      <c r="A134" s="502" t="s">
        <v>1778</v>
      </c>
      <c r="B134" s="533" t="s">
        <v>1218</v>
      </c>
      <c r="C134" s="428">
        <v>9</v>
      </c>
      <c r="D134" s="427" t="s">
        <v>5</v>
      </c>
      <c r="E134" s="429">
        <v>10.190688</v>
      </c>
      <c r="F134" s="429">
        <v>91.71619199999999</v>
      </c>
      <c r="G134" s="647">
        <f t="shared" si="11"/>
        <v>24.726685363199998</v>
      </c>
      <c r="H134" s="646">
        <f t="shared" si="12"/>
        <v>116.44287736319998</v>
      </c>
      <c r="I134" s="430">
        <f t="shared" si="13"/>
        <v>0.0005216035345031942</v>
      </c>
      <c r="J134" s="430">
        <f t="shared" si="14"/>
        <v>0.9857104946050125</v>
      </c>
      <c r="K134" s="63" t="s">
        <v>22</v>
      </c>
      <c r="L134" s="536"/>
    </row>
    <row r="135" spans="1:12" s="419" customFormat="1" ht="12.75">
      <c r="A135" s="431" t="s">
        <v>1729</v>
      </c>
      <c r="B135" s="533" t="s">
        <v>234</v>
      </c>
      <c r="C135" s="428">
        <v>1</v>
      </c>
      <c r="D135" s="427" t="s">
        <v>5</v>
      </c>
      <c r="E135" s="429">
        <v>90.817860012</v>
      </c>
      <c r="F135" s="429">
        <v>90.817860012</v>
      </c>
      <c r="G135" s="647">
        <f t="shared" si="11"/>
        <v>24.4844950592352</v>
      </c>
      <c r="H135" s="646">
        <f t="shared" si="12"/>
        <v>115.3023550712352</v>
      </c>
      <c r="I135" s="430">
        <f t="shared" si="13"/>
        <v>0.0005164945877634727</v>
      </c>
      <c r="J135" s="430">
        <f t="shared" si="14"/>
        <v>0.986226989192776</v>
      </c>
      <c r="K135" s="63" t="s">
        <v>22</v>
      </c>
      <c r="L135" s="536"/>
    </row>
    <row r="136" spans="1:12" s="419" customFormat="1" ht="25.5">
      <c r="A136" s="502" t="s">
        <v>1733</v>
      </c>
      <c r="B136" s="533" t="s">
        <v>238</v>
      </c>
      <c r="C136" s="428">
        <v>2</v>
      </c>
      <c r="D136" s="427" t="s">
        <v>5</v>
      </c>
      <c r="E136" s="429">
        <v>45.0092</v>
      </c>
      <c r="F136" s="429">
        <v>90.0184</v>
      </c>
      <c r="G136" s="647">
        <f t="shared" si="11"/>
        <v>24.26896064</v>
      </c>
      <c r="H136" s="646">
        <f t="shared" si="12"/>
        <v>114.28736064</v>
      </c>
      <c r="I136" s="430">
        <f t="shared" si="13"/>
        <v>0.0005119479405590929</v>
      </c>
      <c r="J136" s="430">
        <f t="shared" si="14"/>
        <v>0.986738937133335</v>
      </c>
      <c r="K136" s="63" t="s">
        <v>22</v>
      </c>
      <c r="L136" s="536"/>
    </row>
    <row r="137" spans="1:12" s="419" customFormat="1" ht="12.75">
      <c r="A137" s="427" t="s">
        <v>1717</v>
      </c>
      <c r="B137" s="533" t="s">
        <v>251</v>
      </c>
      <c r="C137" s="428">
        <v>5</v>
      </c>
      <c r="D137" s="427" t="s">
        <v>5</v>
      </c>
      <c r="E137" s="429">
        <v>17.91896</v>
      </c>
      <c r="F137" s="429">
        <v>89.59479999999999</v>
      </c>
      <c r="G137" s="647">
        <f t="shared" si="11"/>
        <v>24.154758079999997</v>
      </c>
      <c r="H137" s="646">
        <f t="shared" si="12"/>
        <v>113.74955807999999</v>
      </c>
      <c r="I137" s="430">
        <f t="shared" si="13"/>
        <v>0.000509538864774355</v>
      </c>
      <c r="J137" s="430">
        <f t="shared" si="14"/>
        <v>0.9872484759981094</v>
      </c>
      <c r="K137" s="63" t="s">
        <v>22</v>
      </c>
      <c r="L137" s="536"/>
    </row>
    <row r="138" spans="1:12" s="419" customFormat="1" ht="38.25">
      <c r="A138" s="502" t="s">
        <v>1798</v>
      </c>
      <c r="B138" s="533" t="s">
        <v>220</v>
      </c>
      <c r="C138" s="428">
        <v>5</v>
      </c>
      <c r="D138" s="427" t="s">
        <v>5</v>
      </c>
      <c r="E138" s="429">
        <v>17.67</v>
      </c>
      <c r="F138" s="429">
        <v>88.35000000000001</v>
      </c>
      <c r="G138" s="647">
        <f t="shared" si="11"/>
        <v>23.819160000000004</v>
      </c>
      <c r="H138" s="646">
        <f t="shared" si="12"/>
        <v>112.16916</v>
      </c>
      <c r="I138" s="430">
        <f t="shared" si="13"/>
        <v>0.0005024595032615093</v>
      </c>
      <c r="J138" s="430">
        <f t="shared" si="14"/>
        <v>0.9877509355013709</v>
      </c>
      <c r="K138" s="63" t="s">
        <v>22</v>
      </c>
      <c r="L138" s="536"/>
    </row>
    <row r="139" spans="1:12" s="419" customFormat="1" ht="12.75">
      <c r="A139" s="643" t="s">
        <v>1654</v>
      </c>
      <c r="B139" s="533" t="s">
        <v>136</v>
      </c>
      <c r="C139" s="428">
        <v>4.2</v>
      </c>
      <c r="D139" s="427" t="s">
        <v>25</v>
      </c>
      <c r="E139" s="429">
        <v>20.966037120000003</v>
      </c>
      <c r="F139" s="429">
        <v>88.05735590400002</v>
      </c>
      <c r="G139" s="647">
        <f t="shared" si="11"/>
        <v>23.740263151718406</v>
      </c>
      <c r="H139" s="646">
        <f t="shared" si="12"/>
        <v>111.79761905571843</v>
      </c>
      <c r="I139" s="430">
        <f t="shared" si="13"/>
        <v>0.0005007951930508861</v>
      </c>
      <c r="J139" s="430">
        <f t="shared" si="14"/>
        <v>0.9882517306944218</v>
      </c>
      <c r="K139" s="63" t="s">
        <v>22</v>
      </c>
      <c r="L139" s="536"/>
    </row>
    <row r="140" spans="1:12" s="419" customFormat="1" ht="12.75">
      <c r="A140" s="648" t="s">
        <v>1758</v>
      </c>
      <c r="B140" s="533" t="s">
        <v>1538</v>
      </c>
      <c r="C140" s="428">
        <v>12</v>
      </c>
      <c r="D140" s="427" t="s">
        <v>5</v>
      </c>
      <c r="E140" s="429">
        <v>7.214479999999998</v>
      </c>
      <c r="F140" s="429">
        <v>86.57375999999998</v>
      </c>
      <c r="G140" s="647">
        <f aca="true" t="shared" si="15" ref="G140:G171">F140*$G$12</f>
        <v>23.340285695999995</v>
      </c>
      <c r="H140" s="646">
        <f aca="true" t="shared" si="16" ref="H140:H171">F140+G140</f>
        <v>109.91404569599997</v>
      </c>
      <c r="I140" s="430">
        <f t="shared" si="13"/>
        <v>0.0004923577639511161</v>
      </c>
      <c r="J140" s="430">
        <f t="shared" si="14"/>
        <v>0.9887440884583729</v>
      </c>
      <c r="K140" s="63" t="s">
        <v>22</v>
      </c>
      <c r="L140" s="536"/>
    </row>
    <row r="141" spans="1:12" s="419" customFormat="1" ht="25.5">
      <c r="A141" s="648" t="s">
        <v>1761</v>
      </c>
      <c r="B141" s="533" t="s">
        <v>1541</v>
      </c>
      <c r="C141" s="428">
        <v>12</v>
      </c>
      <c r="D141" s="427" t="s">
        <v>5</v>
      </c>
      <c r="E141" s="429">
        <v>7.214479999999998</v>
      </c>
      <c r="F141" s="429">
        <v>86.57375999999998</v>
      </c>
      <c r="G141" s="647">
        <f t="shared" si="15"/>
        <v>23.340285695999995</v>
      </c>
      <c r="H141" s="646">
        <f t="shared" si="16"/>
        <v>109.91404569599997</v>
      </c>
      <c r="I141" s="430">
        <f aca="true" t="shared" si="17" ref="I141:I172">H141/$H$186</f>
        <v>0.0004923577639511161</v>
      </c>
      <c r="J141" s="430">
        <f t="shared" si="14"/>
        <v>0.989236446222324</v>
      </c>
      <c r="K141" s="63" t="s">
        <v>22</v>
      </c>
      <c r="L141" s="536"/>
    </row>
    <row r="142" spans="1:12" s="419" customFormat="1" ht="25.5">
      <c r="A142" s="648" t="s">
        <v>1771</v>
      </c>
      <c r="B142" s="533" t="s">
        <v>1331</v>
      </c>
      <c r="C142" s="428">
        <v>8</v>
      </c>
      <c r="D142" s="427" t="s">
        <v>5</v>
      </c>
      <c r="E142" s="429">
        <v>9.815828</v>
      </c>
      <c r="F142" s="429">
        <v>78.526624</v>
      </c>
      <c r="G142" s="647">
        <f t="shared" si="15"/>
        <v>21.1707778304</v>
      </c>
      <c r="H142" s="646">
        <f t="shared" si="16"/>
        <v>99.6974018304</v>
      </c>
      <c r="I142" s="430">
        <f t="shared" si="17"/>
        <v>0.00044659251259584966</v>
      </c>
      <c r="J142" s="430">
        <f t="shared" si="14"/>
        <v>0.9896830387349198</v>
      </c>
      <c r="K142" s="63" t="s">
        <v>22</v>
      </c>
      <c r="L142" s="536"/>
    </row>
    <row r="143" spans="1:12" s="419" customFormat="1" ht="12.75">
      <c r="A143" s="726" t="s">
        <v>1732</v>
      </c>
      <c r="B143" s="533" t="s">
        <v>237</v>
      </c>
      <c r="C143" s="428">
        <v>1</v>
      </c>
      <c r="D143" s="427" t="s">
        <v>5</v>
      </c>
      <c r="E143" s="429">
        <v>78.15441631600001</v>
      </c>
      <c r="F143" s="429">
        <v>78.15441631600001</v>
      </c>
      <c r="G143" s="647">
        <f t="shared" si="15"/>
        <v>21.070430638793603</v>
      </c>
      <c r="H143" s="646">
        <f t="shared" si="16"/>
        <v>99.2248469547936</v>
      </c>
      <c r="I143" s="430">
        <f t="shared" si="17"/>
        <v>0.00044447571250515633</v>
      </c>
      <c r="J143" s="430">
        <f t="shared" si="14"/>
        <v>0.990127514447425</v>
      </c>
      <c r="K143" s="63" t="s">
        <v>22</v>
      </c>
      <c r="L143" s="536"/>
    </row>
    <row r="144" spans="1:12" s="419" customFormat="1" ht="12.75">
      <c r="A144" s="643" t="s">
        <v>1708</v>
      </c>
      <c r="B144" s="533" t="s">
        <v>245</v>
      </c>
      <c r="C144" s="428">
        <v>3</v>
      </c>
      <c r="D144" s="427" t="s">
        <v>5</v>
      </c>
      <c r="E144" s="429">
        <v>25.459404</v>
      </c>
      <c r="F144" s="429">
        <v>76.37821199999999</v>
      </c>
      <c r="G144" s="647">
        <f t="shared" si="15"/>
        <v>20.591565955199997</v>
      </c>
      <c r="H144" s="646">
        <f t="shared" si="16"/>
        <v>96.96977795519999</v>
      </c>
      <c r="I144" s="430">
        <f t="shared" si="17"/>
        <v>0.00043437417613494334</v>
      </c>
      <c r="J144" s="430">
        <f t="shared" si="14"/>
        <v>0.9905618886235599</v>
      </c>
      <c r="K144" s="63" t="s">
        <v>22</v>
      </c>
      <c r="L144" s="536"/>
    </row>
    <row r="145" spans="1:12" s="419" customFormat="1" ht="12.75">
      <c r="A145" s="648" t="s">
        <v>1655</v>
      </c>
      <c r="B145" s="533" t="s">
        <v>139</v>
      </c>
      <c r="C145" s="428">
        <v>4.2</v>
      </c>
      <c r="D145" s="427" t="s">
        <v>25</v>
      </c>
      <c r="E145" s="429">
        <v>18.003106799999998</v>
      </c>
      <c r="F145" s="429">
        <v>75.61304856</v>
      </c>
      <c r="G145" s="647">
        <f t="shared" si="15"/>
        <v>20.385277891776</v>
      </c>
      <c r="H145" s="646">
        <f t="shared" si="16"/>
        <v>95.998326451776</v>
      </c>
      <c r="I145" s="430">
        <f t="shared" si="17"/>
        <v>0.000430022578602671</v>
      </c>
      <c r="J145" s="430">
        <f t="shared" si="14"/>
        <v>0.9909919112021626</v>
      </c>
      <c r="K145" s="63" t="s">
        <v>22</v>
      </c>
      <c r="L145" s="536"/>
    </row>
    <row r="146" spans="1:12" s="419" customFormat="1" ht="25.5">
      <c r="A146" s="644" t="s">
        <v>1772</v>
      </c>
      <c r="B146" s="533" t="s">
        <v>1324</v>
      </c>
      <c r="C146" s="428">
        <v>8</v>
      </c>
      <c r="D146" s="427" t="s">
        <v>5</v>
      </c>
      <c r="E146" s="429">
        <v>9.434265</v>
      </c>
      <c r="F146" s="429">
        <v>75.47412</v>
      </c>
      <c r="G146" s="647">
        <f t="shared" si="15"/>
        <v>20.347822752</v>
      </c>
      <c r="H146" s="646">
        <f t="shared" si="16"/>
        <v>95.821942752</v>
      </c>
      <c r="I146" s="430">
        <f t="shared" si="17"/>
        <v>0.0004292324713559654</v>
      </c>
      <c r="J146" s="430">
        <f t="shared" si="14"/>
        <v>0.9914211436735185</v>
      </c>
      <c r="K146" s="63" t="s">
        <v>22</v>
      </c>
      <c r="L146" s="536"/>
    </row>
    <row r="147" spans="1:12" s="419" customFormat="1" ht="25.5">
      <c r="A147" s="644" t="s">
        <v>1806</v>
      </c>
      <c r="B147" s="533" t="s">
        <v>217</v>
      </c>
      <c r="C147" s="428">
        <v>1</v>
      </c>
      <c r="D147" s="427" t="s">
        <v>5</v>
      </c>
      <c r="E147" s="429">
        <v>74.0182672</v>
      </c>
      <c r="F147" s="429">
        <v>74.0182672</v>
      </c>
      <c r="G147" s="647">
        <f t="shared" si="15"/>
        <v>19.95532483712</v>
      </c>
      <c r="H147" s="646">
        <f t="shared" si="16"/>
        <v>93.97359203712</v>
      </c>
      <c r="I147" s="430">
        <f t="shared" si="17"/>
        <v>0.00042095282138754575</v>
      </c>
      <c r="J147" s="430">
        <f t="shared" si="14"/>
        <v>0.9918420964949061</v>
      </c>
      <c r="K147" s="63" t="s">
        <v>22</v>
      </c>
      <c r="L147" s="536"/>
    </row>
    <row r="148" spans="1:12" s="419" customFormat="1" ht="12.75">
      <c r="A148" s="644" t="s">
        <v>1683</v>
      </c>
      <c r="B148" s="533" t="s">
        <v>168</v>
      </c>
      <c r="C148" s="428">
        <v>29</v>
      </c>
      <c r="D148" s="427" t="s">
        <v>25</v>
      </c>
      <c r="E148" s="429">
        <v>2.5197442519999997</v>
      </c>
      <c r="F148" s="429">
        <v>73.07258330799999</v>
      </c>
      <c r="G148" s="647">
        <f t="shared" si="15"/>
        <v>19.7003684598368</v>
      </c>
      <c r="H148" s="646">
        <f t="shared" si="16"/>
        <v>92.77295176783679</v>
      </c>
      <c r="I148" s="430">
        <f t="shared" si="17"/>
        <v>0.000415574577373774</v>
      </c>
      <c r="J148" s="430">
        <f t="shared" si="14"/>
        <v>0.9922576710722798</v>
      </c>
      <c r="K148" s="63" t="s">
        <v>22</v>
      </c>
      <c r="L148" s="536"/>
    </row>
    <row r="149" spans="1:12" s="419" customFormat="1" ht="12.75">
      <c r="A149" s="431" t="s">
        <v>1769</v>
      </c>
      <c r="B149" s="533" t="s">
        <v>261</v>
      </c>
      <c r="C149" s="428">
        <v>2</v>
      </c>
      <c r="D149" s="427" t="s">
        <v>5</v>
      </c>
      <c r="E149" s="429">
        <v>35.658608</v>
      </c>
      <c r="F149" s="429">
        <v>71.317216</v>
      </c>
      <c r="G149" s="647">
        <f t="shared" si="15"/>
        <v>19.2271214336</v>
      </c>
      <c r="H149" s="646">
        <f t="shared" si="16"/>
        <v>90.5443374336</v>
      </c>
      <c r="I149" s="430">
        <f t="shared" si="17"/>
        <v>0.0004055915441466188</v>
      </c>
      <c r="J149" s="430">
        <f t="shared" si="14"/>
        <v>0.9926632626164265</v>
      </c>
      <c r="K149" s="63" t="s">
        <v>22</v>
      </c>
      <c r="L149" s="536"/>
    </row>
    <row r="150" spans="1:12" s="419" customFormat="1" ht="12.75">
      <c r="A150" s="502" t="s">
        <v>1755</v>
      </c>
      <c r="B150" s="533" t="s">
        <v>1535</v>
      </c>
      <c r="C150" s="428">
        <v>9</v>
      </c>
      <c r="D150" s="427" t="s">
        <v>5</v>
      </c>
      <c r="E150" s="429">
        <v>7.884479999999998</v>
      </c>
      <c r="F150" s="429">
        <v>70.96031999999998</v>
      </c>
      <c r="G150" s="647">
        <f t="shared" si="15"/>
        <v>19.130902271999997</v>
      </c>
      <c r="H150" s="646">
        <f t="shared" si="16"/>
        <v>90.09122227199998</v>
      </c>
      <c r="I150" s="430">
        <f t="shared" si="17"/>
        <v>0.00040356182386505645</v>
      </c>
      <c r="J150" s="430">
        <f t="shared" si="14"/>
        <v>0.9930668244402915</v>
      </c>
      <c r="K150" s="63" t="s">
        <v>22</v>
      </c>
      <c r="L150" s="536"/>
    </row>
    <row r="151" spans="1:12" s="419" customFormat="1" ht="25.5">
      <c r="A151" s="431" t="s">
        <v>1800</v>
      </c>
      <c r="B151" s="533" t="s">
        <v>222</v>
      </c>
      <c r="C151" s="428">
        <v>2</v>
      </c>
      <c r="D151" s="427" t="s">
        <v>5</v>
      </c>
      <c r="E151" s="429">
        <v>34.286251328</v>
      </c>
      <c r="F151" s="429">
        <v>68.572502656</v>
      </c>
      <c r="G151" s="647">
        <f t="shared" si="15"/>
        <v>18.487146716057598</v>
      </c>
      <c r="H151" s="646">
        <f t="shared" si="16"/>
        <v>87.05964937205759</v>
      </c>
      <c r="I151" s="430">
        <f t="shared" si="17"/>
        <v>0.0003899819538419048</v>
      </c>
      <c r="J151" s="430">
        <f t="shared" si="14"/>
        <v>0.9934568063941334</v>
      </c>
      <c r="K151" s="63" t="s">
        <v>22</v>
      </c>
      <c r="L151" s="536"/>
    </row>
    <row r="152" spans="1:12" s="419" customFormat="1" ht="12.75">
      <c r="A152" s="431" t="s">
        <v>1700</v>
      </c>
      <c r="B152" s="533" t="s">
        <v>242</v>
      </c>
      <c r="C152" s="428">
        <v>3</v>
      </c>
      <c r="D152" s="427" t="s">
        <v>5</v>
      </c>
      <c r="E152" s="429">
        <v>22.830064</v>
      </c>
      <c r="F152" s="429">
        <v>68.49019200000001</v>
      </c>
      <c r="G152" s="647">
        <f t="shared" si="15"/>
        <v>18.464955763200003</v>
      </c>
      <c r="H152" s="646">
        <f t="shared" si="16"/>
        <v>86.95514776320002</v>
      </c>
      <c r="I152" s="430">
        <f t="shared" si="17"/>
        <v>0.0003895138409802536</v>
      </c>
      <c r="J152" s="430">
        <f t="shared" si="14"/>
        <v>0.9938463202351137</v>
      </c>
      <c r="K152" s="63" t="s">
        <v>22</v>
      </c>
      <c r="L152" s="536"/>
    </row>
    <row r="153" spans="1:12" s="419" customFormat="1" ht="12.75">
      <c r="A153" s="431" t="s">
        <v>1707</v>
      </c>
      <c r="B153" s="533" t="s">
        <v>244</v>
      </c>
      <c r="C153" s="428">
        <v>6</v>
      </c>
      <c r="D153" s="427" t="s">
        <v>5</v>
      </c>
      <c r="E153" s="429">
        <v>10.838487999999998</v>
      </c>
      <c r="F153" s="429">
        <v>65.03092799999999</v>
      </c>
      <c r="G153" s="647">
        <f t="shared" si="15"/>
        <v>17.532338188799997</v>
      </c>
      <c r="H153" s="646">
        <f t="shared" si="16"/>
        <v>82.56326618879999</v>
      </c>
      <c r="I153" s="430">
        <f t="shared" si="17"/>
        <v>0.0003698404955236556</v>
      </c>
      <c r="J153" s="430">
        <f t="shared" si="14"/>
        <v>0.9942161607306373</v>
      </c>
      <c r="K153" s="63" t="s">
        <v>22</v>
      </c>
      <c r="L153" s="536"/>
    </row>
    <row r="154" spans="1:12" s="419" customFormat="1" ht="12.75">
      <c r="A154" s="431" t="s">
        <v>1712</v>
      </c>
      <c r="B154" s="533" t="s">
        <v>248</v>
      </c>
      <c r="C154" s="428">
        <v>4</v>
      </c>
      <c r="D154" s="427" t="s">
        <v>5</v>
      </c>
      <c r="E154" s="429">
        <v>16.097607999999997</v>
      </c>
      <c r="F154" s="429">
        <v>64.39043199999999</v>
      </c>
      <c r="G154" s="647">
        <f t="shared" si="15"/>
        <v>17.359660467199998</v>
      </c>
      <c r="H154" s="646">
        <f t="shared" si="16"/>
        <v>81.75009246719999</v>
      </c>
      <c r="I154" s="430">
        <f t="shared" si="17"/>
        <v>0.0003661979001416411</v>
      </c>
      <c r="J154" s="430">
        <f t="shared" si="14"/>
        <v>0.994582358630779</v>
      </c>
      <c r="K154" s="63" t="s">
        <v>22</v>
      </c>
      <c r="L154" s="536"/>
    </row>
    <row r="155" spans="1:12" s="419" customFormat="1" ht="25.5">
      <c r="A155" s="427" t="s">
        <v>1789</v>
      </c>
      <c r="B155" s="533" t="s">
        <v>225</v>
      </c>
      <c r="C155" s="428">
        <v>5</v>
      </c>
      <c r="D155" s="427" t="s">
        <v>5</v>
      </c>
      <c r="E155" s="429">
        <v>12.459864088</v>
      </c>
      <c r="F155" s="429">
        <v>62.29932044</v>
      </c>
      <c r="G155" s="647">
        <f t="shared" si="15"/>
        <v>16.795896790624003</v>
      </c>
      <c r="H155" s="646">
        <f t="shared" si="16"/>
        <v>79.095217230624</v>
      </c>
      <c r="I155" s="430">
        <f t="shared" si="17"/>
        <v>0.00035430543974886245</v>
      </c>
      <c r="J155" s="430">
        <f t="shared" si="14"/>
        <v>0.9949366640705279</v>
      </c>
      <c r="K155" s="63" t="s">
        <v>22</v>
      </c>
      <c r="L155" s="536"/>
    </row>
    <row r="156" spans="1:12" s="419" customFormat="1" ht="12.75">
      <c r="A156" s="431" t="s">
        <v>1713</v>
      </c>
      <c r="B156" s="533" t="s">
        <v>249</v>
      </c>
      <c r="C156" s="428">
        <v>2</v>
      </c>
      <c r="D156" s="427" t="s">
        <v>5</v>
      </c>
      <c r="E156" s="429">
        <v>30.036825999999998</v>
      </c>
      <c r="F156" s="429">
        <v>60.073651999999996</v>
      </c>
      <c r="G156" s="647">
        <f t="shared" si="15"/>
        <v>16.1958565792</v>
      </c>
      <c r="H156" s="646">
        <f t="shared" si="16"/>
        <v>76.2695085792</v>
      </c>
      <c r="I156" s="430">
        <f t="shared" si="17"/>
        <v>0.0003416477344994315</v>
      </c>
      <c r="J156" s="430">
        <f t="shared" si="14"/>
        <v>0.9952783118050273</v>
      </c>
      <c r="K156" s="63" t="s">
        <v>22</v>
      </c>
      <c r="L156" s="536"/>
    </row>
    <row r="157" spans="1:12" s="419" customFormat="1" ht="12.75">
      <c r="A157" s="431" t="s">
        <v>1715</v>
      </c>
      <c r="B157" s="533" t="s">
        <v>1224</v>
      </c>
      <c r="C157" s="428">
        <v>1</v>
      </c>
      <c r="D157" s="427" t="s">
        <v>5</v>
      </c>
      <c r="E157" s="429">
        <v>59.11148</v>
      </c>
      <c r="F157" s="429">
        <v>59.11148</v>
      </c>
      <c r="G157" s="647">
        <f t="shared" si="15"/>
        <v>15.936455008000001</v>
      </c>
      <c r="H157" s="646">
        <f t="shared" si="16"/>
        <v>75.047935008</v>
      </c>
      <c r="I157" s="430">
        <f t="shared" si="17"/>
        <v>0.00033617572017943</v>
      </c>
      <c r="J157" s="430">
        <f t="shared" si="14"/>
        <v>0.9956144875252068</v>
      </c>
      <c r="K157" s="63" t="s">
        <v>22</v>
      </c>
      <c r="L157" s="536"/>
    </row>
    <row r="158" spans="1:12" s="419" customFormat="1" ht="25.5">
      <c r="A158" s="502" t="s">
        <v>1696</v>
      </c>
      <c r="B158" s="533" t="s">
        <v>1221</v>
      </c>
      <c r="C158" s="428">
        <v>2</v>
      </c>
      <c r="D158" s="427" t="s">
        <v>5</v>
      </c>
      <c r="E158" s="429">
        <v>25.600529312</v>
      </c>
      <c r="F158" s="429">
        <v>51.201058624</v>
      </c>
      <c r="G158" s="647">
        <f t="shared" si="15"/>
        <v>13.803805405030399</v>
      </c>
      <c r="H158" s="646">
        <f t="shared" si="16"/>
        <v>65.0048640290304</v>
      </c>
      <c r="I158" s="430">
        <f t="shared" si="17"/>
        <v>0.0002911879850897392</v>
      </c>
      <c r="J158" s="430">
        <f t="shared" si="14"/>
        <v>0.9959056755102965</v>
      </c>
      <c r="K158" s="63" t="s">
        <v>22</v>
      </c>
      <c r="L158" s="536"/>
    </row>
    <row r="159" spans="1:12" s="419" customFormat="1" ht="25.5">
      <c r="A159" s="502" t="s">
        <v>1777</v>
      </c>
      <c r="B159" s="533" t="s">
        <v>256</v>
      </c>
      <c r="C159" s="428">
        <v>1</v>
      </c>
      <c r="D159" s="427" t="s">
        <v>5</v>
      </c>
      <c r="E159" s="429">
        <v>49.638784</v>
      </c>
      <c r="F159" s="429">
        <v>49.638784</v>
      </c>
      <c r="G159" s="647">
        <f t="shared" si="15"/>
        <v>13.3826161664</v>
      </c>
      <c r="H159" s="646">
        <f t="shared" si="16"/>
        <v>63.0214001664</v>
      </c>
      <c r="I159" s="430">
        <f t="shared" si="17"/>
        <v>0.00028230309848495025</v>
      </c>
      <c r="J159" s="430">
        <f t="shared" si="14"/>
        <v>0.9961879786087815</v>
      </c>
      <c r="K159" s="63" t="s">
        <v>22</v>
      </c>
      <c r="L159" s="536"/>
    </row>
    <row r="160" spans="1:12" s="419" customFormat="1" ht="12.75">
      <c r="A160" s="502" t="s">
        <v>1780</v>
      </c>
      <c r="B160" s="533" t="s">
        <v>1220</v>
      </c>
      <c r="C160" s="428">
        <v>1</v>
      </c>
      <c r="D160" s="427" t="s">
        <v>5</v>
      </c>
      <c r="E160" s="429">
        <v>48.94674</v>
      </c>
      <c r="F160" s="429">
        <v>48.94674</v>
      </c>
      <c r="G160" s="647">
        <f t="shared" si="15"/>
        <v>13.196041104</v>
      </c>
      <c r="H160" s="646">
        <f t="shared" si="16"/>
        <v>62.142781104</v>
      </c>
      <c r="I160" s="430">
        <f t="shared" si="17"/>
        <v>0.0002783673420109819</v>
      </c>
      <c r="J160" s="430">
        <f t="shared" si="14"/>
        <v>0.9964663459507925</v>
      </c>
      <c r="K160" s="63" t="s">
        <v>22</v>
      </c>
      <c r="L160" s="536"/>
    </row>
    <row r="161" spans="1:12" s="419" customFormat="1" ht="12.75">
      <c r="A161" s="431" t="s">
        <v>1653</v>
      </c>
      <c r="B161" s="533" t="s">
        <v>135</v>
      </c>
      <c r="C161" s="428">
        <v>2</v>
      </c>
      <c r="D161" s="427" t="s">
        <v>111</v>
      </c>
      <c r="E161" s="429">
        <v>22.81615584</v>
      </c>
      <c r="F161" s="429">
        <v>45.63231168</v>
      </c>
      <c r="G161" s="647">
        <f t="shared" si="15"/>
        <v>12.302471228928</v>
      </c>
      <c r="H161" s="646">
        <f t="shared" si="16"/>
        <v>57.934782908928</v>
      </c>
      <c r="I161" s="430">
        <f t="shared" si="17"/>
        <v>0.0002595176984652764</v>
      </c>
      <c r="J161" s="430">
        <f t="shared" si="14"/>
        <v>0.9967258636492579</v>
      </c>
      <c r="K161" s="63" t="s">
        <v>22</v>
      </c>
      <c r="L161" s="536"/>
    </row>
    <row r="162" spans="1:12" s="419" customFormat="1" ht="12.75">
      <c r="A162" s="431" t="s">
        <v>1817</v>
      </c>
      <c r="B162" s="533" t="s">
        <v>169</v>
      </c>
      <c r="C162" s="428">
        <v>1</v>
      </c>
      <c r="D162" s="427" t="s">
        <v>1435</v>
      </c>
      <c r="E162" s="429">
        <v>44.42884164000001</v>
      </c>
      <c r="F162" s="429">
        <v>44.42884164000001</v>
      </c>
      <c r="G162" s="647">
        <f t="shared" si="15"/>
        <v>11.978015706144003</v>
      </c>
      <c r="H162" s="646">
        <f t="shared" si="16"/>
        <v>56.40685734614401</v>
      </c>
      <c r="I162" s="430">
        <f t="shared" si="17"/>
        <v>0.00025267338654124126</v>
      </c>
      <c r="J162" s="430">
        <f t="shared" si="14"/>
        <v>0.9969785370357991</v>
      </c>
      <c r="K162" s="63" t="s">
        <v>22</v>
      </c>
      <c r="L162" s="536"/>
    </row>
    <row r="163" spans="1:12" s="419" customFormat="1" ht="12.75">
      <c r="A163" s="431" t="s">
        <v>1764</v>
      </c>
      <c r="B163" s="533" t="s">
        <v>257</v>
      </c>
      <c r="C163" s="428">
        <v>4</v>
      </c>
      <c r="D163" s="427" t="s">
        <v>5</v>
      </c>
      <c r="E163" s="429">
        <v>10.698272</v>
      </c>
      <c r="F163" s="429">
        <v>42.793088</v>
      </c>
      <c r="G163" s="647">
        <f t="shared" si="15"/>
        <v>11.5370165248</v>
      </c>
      <c r="H163" s="646">
        <f t="shared" si="16"/>
        <v>54.3301045248</v>
      </c>
      <c r="I163" s="430">
        <f t="shared" si="17"/>
        <v>0.00024337061391631077</v>
      </c>
      <c r="J163" s="430">
        <f t="shared" si="14"/>
        <v>0.9972219076497154</v>
      </c>
      <c r="K163" s="63" t="s">
        <v>22</v>
      </c>
      <c r="L163" s="536"/>
    </row>
    <row r="164" spans="1:12" s="419" customFormat="1" ht="12.75">
      <c r="A164" s="502" t="s">
        <v>1711</v>
      </c>
      <c r="B164" s="533" t="s">
        <v>247</v>
      </c>
      <c r="C164" s="428">
        <v>5</v>
      </c>
      <c r="D164" s="427" t="s">
        <v>5</v>
      </c>
      <c r="E164" s="429">
        <v>8.049786</v>
      </c>
      <c r="F164" s="429">
        <v>40.248929999999994</v>
      </c>
      <c r="G164" s="647">
        <f t="shared" si="15"/>
        <v>10.851111527999999</v>
      </c>
      <c r="H164" s="646">
        <f t="shared" si="16"/>
        <v>51.10004152799999</v>
      </c>
      <c r="I164" s="430">
        <f t="shared" si="17"/>
        <v>0.0002289016114839531</v>
      </c>
      <c r="J164" s="430">
        <f t="shared" si="14"/>
        <v>0.9974508092611993</v>
      </c>
      <c r="K164" s="63" t="s">
        <v>22</v>
      </c>
      <c r="L164" s="536"/>
    </row>
    <row r="165" spans="1:12" s="419" customFormat="1" ht="12.75">
      <c r="A165" s="502" t="s">
        <v>1694</v>
      </c>
      <c r="B165" s="533" t="s">
        <v>268</v>
      </c>
      <c r="C165" s="428">
        <v>6</v>
      </c>
      <c r="D165" s="427" t="s">
        <v>4</v>
      </c>
      <c r="E165" s="429">
        <v>6.564705999999999</v>
      </c>
      <c r="F165" s="429">
        <v>39.38823599999999</v>
      </c>
      <c r="G165" s="647">
        <f t="shared" si="15"/>
        <v>10.619068425599998</v>
      </c>
      <c r="H165" s="646">
        <f t="shared" si="16"/>
        <v>50.00730442559999</v>
      </c>
      <c r="I165" s="430">
        <f t="shared" si="17"/>
        <v>0.00022400671754280809</v>
      </c>
      <c r="J165" s="430">
        <f t="shared" si="14"/>
        <v>0.9976748159787422</v>
      </c>
      <c r="K165" s="63" t="s">
        <v>22</v>
      </c>
      <c r="L165" s="536"/>
    </row>
    <row r="166" spans="1:12" s="419" customFormat="1" ht="25.5">
      <c r="A166" s="427" t="s">
        <v>1797</v>
      </c>
      <c r="B166" s="533" t="s">
        <v>219</v>
      </c>
      <c r="C166" s="428">
        <v>2</v>
      </c>
      <c r="D166" s="427" t="s">
        <v>5</v>
      </c>
      <c r="E166" s="429">
        <v>17.500900299999998</v>
      </c>
      <c r="F166" s="429">
        <v>35.001800599999996</v>
      </c>
      <c r="G166" s="647">
        <f t="shared" si="15"/>
        <v>9.436485441759999</v>
      </c>
      <c r="H166" s="646">
        <f t="shared" si="16"/>
        <v>44.438286041759994</v>
      </c>
      <c r="I166" s="430">
        <f t="shared" si="17"/>
        <v>0.00019906041134956873</v>
      </c>
      <c r="J166" s="430">
        <f t="shared" si="14"/>
        <v>0.9978738763900917</v>
      </c>
      <c r="K166" s="63" t="s">
        <v>22</v>
      </c>
      <c r="L166" s="536"/>
    </row>
    <row r="167" spans="1:12" s="419" customFormat="1" ht="12.75">
      <c r="A167" s="427" t="s">
        <v>1768</v>
      </c>
      <c r="B167" s="533" t="s">
        <v>263</v>
      </c>
      <c r="C167" s="428">
        <v>2</v>
      </c>
      <c r="D167" s="427" t="s">
        <v>5</v>
      </c>
      <c r="E167" s="429">
        <v>16.321376</v>
      </c>
      <c r="F167" s="429">
        <v>32.642752</v>
      </c>
      <c r="G167" s="647">
        <f t="shared" si="15"/>
        <v>8.800485939200001</v>
      </c>
      <c r="H167" s="646">
        <f t="shared" si="16"/>
        <v>41.4432379392</v>
      </c>
      <c r="I167" s="430">
        <f t="shared" si="17"/>
        <v>0.0001856441534239801</v>
      </c>
      <c r="J167" s="430">
        <f t="shared" si="14"/>
        <v>0.9980595205435157</v>
      </c>
      <c r="K167" s="63" t="s">
        <v>22</v>
      </c>
      <c r="L167" s="536"/>
    </row>
    <row r="168" spans="1:12" s="419" customFormat="1" ht="12.75">
      <c r="A168" s="427" t="s">
        <v>1714</v>
      </c>
      <c r="B168" s="533" t="s">
        <v>250</v>
      </c>
      <c r="C168" s="428">
        <v>2</v>
      </c>
      <c r="D168" s="427" t="s">
        <v>5</v>
      </c>
      <c r="E168" s="429">
        <v>15.877607999999997</v>
      </c>
      <c r="F168" s="429">
        <v>31.755215999999994</v>
      </c>
      <c r="G168" s="647">
        <f t="shared" si="15"/>
        <v>8.561206233599998</v>
      </c>
      <c r="H168" s="646">
        <f t="shared" si="16"/>
        <v>40.316422233599994</v>
      </c>
      <c r="I168" s="430">
        <f t="shared" si="17"/>
        <v>0.00018059660506306656</v>
      </c>
      <c r="J168" s="430">
        <f t="shared" si="14"/>
        <v>0.9982401171485787</v>
      </c>
      <c r="K168" s="63" t="s">
        <v>22</v>
      </c>
      <c r="L168" s="536"/>
    </row>
    <row r="169" spans="1:12" s="419" customFormat="1" ht="12.75">
      <c r="A169" s="431" t="s">
        <v>1779</v>
      </c>
      <c r="B169" s="533" t="s">
        <v>264</v>
      </c>
      <c r="C169" s="428">
        <v>2</v>
      </c>
      <c r="D169" s="427" t="s">
        <v>5</v>
      </c>
      <c r="E169" s="429">
        <v>14.23448</v>
      </c>
      <c r="F169" s="429">
        <v>28.46896</v>
      </c>
      <c r="G169" s="647">
        <f t="shared" si="15"/>
        <v>7.675231616</v>
      </c>
      <c r="H169" s="646">
        <f t="shared" si="16"/>
        <v>36.144191616</v>
      </c>
      <c r="I169" s="430">
        <f t="shared" si="17"/>
        <v>0.0001619071816635176</v>
      </c>
      <c r="J169" s="430">
        <f t="shared" si="14"/>
        <v>0.9984020243302423</v>
      </c>
      <c r="K169" s="63" t="s">
        <v>22</v>
      </c>
      <c r="L169" s="536"/>
    </row>
    <row r="170" spans="1:12" s="419" customFormat="1" ht="12.75">
      <c r="A170" s="502" t="s">
        <v>1651</v>
      </c>
      <c r="B170" s="533" t="s">
        <v>126</v>
      </c>
      <c r="C170" s="428">
        <v>0.4824</v>
      </c>
      <c r="D170" s="427" t="s">
        <v>24</v>
      </c>
      <c r="E170" s="429">
        <v>58.51056</v>
      </c>
      <c r="F170" s="429">
        <v>28.225494144</v>
      </c>
      <c r="G170" s="647">
        <f t="shared" si="15"/>
        <v>7.6095932212224</v>
      </c>
      <c r="H170" s="646">
        <f t="shared" si="16"/>
        <v>35.8350873652224</v>
      </c>
      <c r="I170" s="430">
        <f t="shared" si="17"/>
        <v>0.00016052255536960815</v>
      </c>
      <c r="J170" s="430">
        <f t="shared" si="14"/>
        <v>0.9985625468856119</v>
      </c>
      <c r="K170" s="63" t="s">
        <v>22</v>
      </c>
      <c r="L170" s="536"/>
    </row>
    <row r="171" spans="1:12" s="419" customFormat="1" ht="25.5">
      <c r="A171" s="432" t="s">
        <v>1699</v>
      </c>
      <c r="B171" s="533" t="s">
        <v>241</v>
      </c>
      <c r="C171" s="428">
        <v>2</v>
      </c>
      <c r="D171" s="427" t="s">
        <v>5</v>
      </c>
      <c r="E171" s="429">
        <v>13.788967999999999</v>
      </c>
      <c r="F171" s="429">
        <v>27.577935999999998</v>
      </c>
      <c r="G171" s="647">
        <f t="shared" si="15"/>
        <v>7.435011545599999</v>
      </c>
      <c r="H171" s="646">
        <f t="shared" si="16"/>
        <v>35.0129475456</v>
      </c>
      <c r="I171" s="430">
        <f t="shared" si="17"/>
        <v>0.0001568397965312699</v>
      </c>
      <c r="J171" s="430">
        <f t="shared" si="14"/>
        <v>0.9987193866821431</v>
      </c>
      <c r="K171" s="63" t="s">
        <v>22</v>
      </c>
      <c r="L171" s="536"/>
    </row>
    <row r="172" spans="1:12" s="419" customFormat="1" ht="25.5">
      <c r="A172" s="427" t="s">
        <v>1697</v>
      </c>
      <c r="B172" s="533" t="s">
        <v>239</v>
      </c>
      <c r="C172" s="428">
        <v>4</v>
      </c>
      <c r="D172" s="427" t="s">
        <v>5</v>
      </c>
      <c r="E172" s="429">
        <v>6.48997</v>
      </c>
      <c r="F172" s="429">
        <v>25.95988</v>
      </c>
      <c r="G172" s="647">
        <f aca="true" t="shared" si="18" ref="G172:G185">F172*$G$12</f>
        <v>6.998783648</v>
      </c>
      <c r="H172" s="646">
        <f aca="true" t="shared" si="19" ref="H172:H185">F172+G172</f>
        <v>32.958663648</v>
      </c>
      <c r="I172" s="430">
        <f t="shared" si="17"/>
        <v>0.0001476376729997554</v>
      </c>
      <c r="J172" s="430">
        <f t="shared" si="14"/>
        <v>0.9988670243551429</v>
      </c>
      <c r="K172" s="63" t="s">
        <v>22</v>
      </c>
      <c r="L172" s="536"/>
    </row>
    <row r="173" spans="1:12" s="419" customFormat="1" ht="12.75">
      <c r="A173" s="431" t="s">
        <v>1701</v>
      </c>
      <c r="B173" s="533" t="s">
        <v>1222</v>
      </c>
      <c r="C173" s="428">
        <v>1</v>
      </c>
      <c r="D173" s="427" t="s">
        <v>5</v>
      </c>
      <c r="E173" s="429">
        <v>25.284907999999994</v>
      </c>
      <c r="F173" s="429">
        <v>25.284907999999994</v>
      </c>
      <c r="G173" s="647">
        <f t="shared" si="18"/>
        <v>6.816811196799999</v>
      </c>
      <c r="H173" s="646">
        <f t="shared" si="19"/>
        <v>32.10171919679999</v>
      </c>
      <c r="I173" s="430">
        <f>H173/$H$186</f>
        <v>0.00014379900751208783</v>
      </c>
      <c r="J173" s="430">
        <f t="shared" si="14"/>
        <v>0.9990108233626549</v>
      </c>
      <c r="K173" s="63" t="s">
        <v>22</v>
      </c>
      <c r="L173" s="536"/>
    </row>
    <row r="174" spans="1:12" s="419" customFormat="1" ht="12.75">
      <c r="A174" s="502" t="s">
        <v>1702</v>
      </c>
      <c r="B174" s="533" t="s">
        <v>1223</v>
      </c>
      <c r="C174" s="428">
        <v>1</v>
      </c>
      <c r="D174" s="427" t="s">
        <v>5</v>
      </c>
      <c r="E174" s="429">
        <v>23.831177999999998</v>
      </c>
      <c r="F174" s="429">
        <v>23.831177999999998</v>
      </c>
      <c r="G174" s="647">
        <f t="shared" si="18"/>
        <v>6.4248855888</v>
      </c>
      <c r="H174" s="646">
        <f t="shared" si="19"/>
        <v>30.256063588799996</v>
      </c>
      <c r="I174" s="430">
        <f>H174/$H$186</f>
        <v>0.00013553143022090105</v>
      </c>
      <c r="J174" s="430">
        <f t="shared" si="14"/>
        <v>0.9991463547928758</v>
      </c>
      <c r="K174" s="63" t="s">
        <v>22</v>
      </c>
      <c r="L174" s="536"/>
    </row>
    <row r="175" spans="1:12" s="419" customFormat="1" ht="12.75">
      <c r="A175" s="502" t="s">
        <v>1703</v>
      </c>
      <c r="B175" s="533" t="s">
        <v>1389</v>
      </c>
      <c r="C175" s="428">
        <v>1</v>
      </c>
      <c r="D175" s="427" t="s">
        <v>5</v>
      </c>
      <c r="E175" s="429">
        <v>23.622772</v>
      </c>
      <c r="F175" s="429">
        <v>23.622772</v>
      </c>
      <c r="G175" s="647">
        <f t="shared" si="18"/>
        <v>6.3686993312</v>
      </c>
      <c r="H175" s="646">
        <f t="shared" si="19"/>
        <v>29.991471331200003</v>
      </c>
      <c r="I175" s="430">
        <f>H175/$H$186</f>
        <v>0.0001343461945079784</v>
      </c>
      <c r="J175" s="430">
        <f t="shared" si="14"/>
        <v>0.9992807009873839</v>
      </c>
      <c r="K175" s="63" t="s">
        <v>22</v>
      </c>
      <c r="L175" s="536"/>
    </row>
    <row r="176" spans="1:12" s="419" customFormat="1" ht="51">
      <c r="A176" s="502" t="s">
        <v>1801</v>
      </c>
      <c r="B176" s="533" t="s">
        <v>1511</v>
      </c>
      <c r="C176" s="428">
        <v>5</v>
      </c>
      <c r="D176" s="427" t="s">
        <v>5</v>
      </c>
      <c r="E176" s="429">
        <v>4.5935334</v>
      </c>
      <c r="F176" s="429">
        <v>22.967667</v>
      </c>
      <c r="G176" s="647">
        <f t="shared" si="18"/>
        <v>6.1920830231999995</v>
      </c>
      <c r="H176" s="646">
        <f t="shared" si="19"/>
        <v>29.159750023199997</v>
      </c>
      <c r="I176" s="430">
        <f>H176/$H$186</f>
        <v>0.00013062051558455868</v>
      </c>
      <c r="J176" s="430">
        <f t="shared" si="14"/>
        <v>0.9994113215029684</v>
      </c>
      <c r="K176" s="63" t="s">
        <v>22</v>
      </c>
      <c r="L176" s="536"/>
    </row>
    <row r="177" spans="1:12" s="419" customFormat="1" ht="12.75">
      <c r="A177" s="427" t="s">
        <v>1704</v>
      </c>
      <c r="B177" s="533" t="s">
        <v>1390</v>
      </c>
      <c r="C177" s="428">
        <v>1</v>
      </c>
      <c r="D177" s="427" t="s">
        <v>5</v>
      </c>
      <c r="E177" s="429">
        <v>21.263303999999998</v>
      </c>
      <c r="F177" s="429">
        <v>21.263303999999998</v>
      </c>
      <c r="G177" s="647">
        <f t="shared" si="18"/>
        <v>5.732586758399999</v>
      </c>
      <c r="H177" s="646">
        <f t="shared" si="19"/>
        <v>26.995890758399998</v>
      </c>
      <c r="I177" s="430">
        <f>H177/$H$186</f>
        <v>0.0001209275513926255</v>
      </c>
      <c r="J177" s="430">
        <f t="shared" si="14"/>
        <v>0.999532249054361</v>
      </c>
      <c r="K177" s="63" t="s">
        <v>22</v>
      </c>
      <c r="L177" s="536"/>
    </row>
    <row r="178" spans="1:12" s="419" customFormat="1" ht="25.5">
      <c r="A178" s="502" t="s">
        <v>1828</v>
      </c>
      <c r="B178" s="533" t="s">
        <v>1834</v>
      </c>
      <c r="C178" s="428">
        <v>2</v>
      </c>
      <c r="D178" s="427" t="s">
        <v>5</v>
      </c>
      <c r="E178" s="429">
        <v>8.287312</v>
      </c>
      <c r="F178" s="429">
        <v>16.574624</v>
      </c>
      <c r="G178" s="647">
        <f t="shared" si="18"/>
        <v>4.4685186304</v>
      </c>
      <c r="H178" s="646">
        <f t="shared" si="19"/>
        <v>21.0431426304</v>
      </c>
      <c r="I178" s="430">
        <f>H178/$H$186</f>
        <v>9.42623355040893E-05</v>
      </c>
      <c r="J178" s="430">
        <f t="shared" si="14"/>
        <v>0.9996265113898651</v>
      </c>
      <c r="K178" s="63" t="s">
        <v>22</v>
      </c>
      <c r="L178" s="536"/>
    </row>
    <row r="179" spans="1:12" s="419" customFormat="1" ht="12.75">
      <c r="A179" s="502" t="s">
        <v>1835</v>
      </c>
      <c r="B179" s="533" t="s">
        <v>1836</v>
      </c>
      <c r="C179" s="428">
        <v>1</v>
      </c>
      <c r="D179" s="427" t="s">
        <v>25</v>
      </c>
      <c r="E179" s="429">
        <v>12.086791884</v>
      </c>
      <c r="F179" s="429">
        <v>12.086791884</v>
      </c>
      <c r="G179" s="647">
        <f t="shared" si="18"/>
        <v>3.2585990919264</v>
      </c>
      <c r="H179" s="646">
        <f t="shared" si="19"/>
        <v>15.3453909759264</v>
      </c>
      <c r="I179" s="430">
        <f>H179/$H$186</f>
        <v>6.873937120611072E-05</v>
      </c>
      <c r="J179" s="430">
        <f t="shared" si="14"/>
        <v>0.9996952507610712</v>
      </c>
      <c r="K179" s="63" t="s">
        <v>22</v>
      </c>
      <c r="L179" s="536"/>
    </row>
    <row r="180" spans="1:12" s="419" customFormat="1" ht="12.75">
      <c r="A180" s="502" t="s">
        <v>1716</v>
      </c>
      <c r="B180" s="533" t="s">
        <v>1225</v>
      </c>
      <c r="C180" s="428">
        <v>1</v>
      </c>
      <c r="D180" s="427" t="s">
        <v>5</v>
      </c>
      <c r="E180" s="429">
        <v>11.73962</v>
      </c>
      <c r="F180" s="429">
        <v>11.73962</v>
      </c>
      <c r="G180" s="647">
        <f t="shared" si="18"/>
        <v>3.165001552</v>
      </c>
      <c r="H180" s="646">
        <f t="shared" si="19"/>
        <v>14.904621552</v>
      </c>
      <c r="I180" s="430">
        <f>H180/$H$186</f>
        <v>6.676495340892903E-05</v>
      </c>
      <c r="J180" s="430">
        <f t="shared" si="14"/>
        <v>0.9997620157144802</v>
      </c>
      <c r="K180" s="63" t="s">
        <v>22</v>
      </c>
      <c r="L180" s="536"/>
    </row>
    <row r="181" spans="1:12" s="419" customFormat="1" ht="25.5">
      <c r="A181" s="431" t="s">
        <v>1790</v>
      </c>
      <c r="B181" s="533" t="s">
        <v>226</v>
      </c>
      <c r="C181" s="428">
        <v>1</v>
      </c>
      <c r="D181" s="427" t="s">
        <v>5</v>
      </c>
      <c r="E181" s="429">
        <v>11.408992064</v>
      </c>
      <c r="F181" s="429">
        <v>11.408992064</v>
      </c>
      <c r="G181" s="647">
        <f t="shared" si="18"/>
        <v>3.0758642604544</v>
      </c>
      <c r="H181" s="646">
        <f t="shared" si="19"/>
        <v>14.4848563244544</v>
      </c>
      <c r="I181" s="430">
        <f>H181/$H$186</f>
        <v>6.48846234883072E-05</v>
      </c>
      <c r="J181" s="430">
        <f t="shared" si="14"/>
        <v>0.9998269003379685</v>
      </c>
      <c r="K181" s="63" t="s">
        <v>22</v>
      </c>
      <c r="L181" s="536"/>
    </row>
    <row r="182" spans="1:12" s="419" customFormat="1" ht="38.25">
      <c r="A182" s="502" t="s">
        <v>1802</v>
      </c>
      <c r="B182" s="533" t="s">
        <v>1512</v>
      </c>
      <c r="C182" s="428">
        <v>2</v>
      </c>
      <c r="D182" s="427" t="s">
        <v>5</v>
      </c>
      <c r="E182" s="429">
        <v>4.5935334</v>
      </c>
      <c r="F182" s="429">
        <v>9.1870668</v>
      </c>
      <c r="G182" s="647">
        <f t="shared" si="18"/>
        <v>2.47683320928</v>
      </c>
      <c r="H182" s="646">
        <f t="shared" si="19"/>
        <v>11.66390000928</v>
      </c>
      <c r="I182" s="430">
        <f>H182/$H$186</f>
        <v>5.224820623382348E-05</v>
      </c>
      <c r="J182" s="430">
        <f t="shared" si="14"/>
        <v>0.9998791485442023</v>
      </c>
      <c r="K182" s="63" t="s">
        <v>22</v>
      </c>
      <c r="L182" s="536"/>
    </row>
    <row r="183" spans="1:12" s="419" customFormat="1" ht="38.25">
      <c r="A183" s="427" t="s">
        <v>1803</v>
      </c>
      <c r="B183" s="533" t="s">
        <v>1513</v>
      </c>
      <c r="C183" s="428">
        <v>2</v>
      </c>
      <c r="D183" s="427" t="s">
        <v>5</v>
      </c>
      <c r="E183" s="429">
        <v>4.5935334</v>
      </c>
      <c r="F183" s="429">
        <v>9.1870668</v>
      </c>
      <c r="G183" s="647">
        <f t="shared" si="18"/>
        <v>2.47683320928</v>
      </c>
      <c r="H183" s="646">
        <f t="shared" si="19"/>
        <v>11.66390000928</v>
      </c>
      <c r="I183" s="430">
        <f>H183/$H$186</f>
        <v>5.224820623382348E-05</v>
      </c>
      <c r="J183" s="430">
        <f>J182+I183</f>
        <v>0.9999313967504362</v>
      </c>
      <c r="K183" s="63" t="s">
        <v>22</v>
      </c>
      <c r="L183" s="536"/>
    </row>
    <row r="184" spans="1:12" s="419" customFormat="1" ht="12.75">
      <c r="A184" s="502" t="s">
        <v>1710</v>
      </c>
      <c r="B184" s="533" t="s">
        <v>246</v>
      </c>
      <c r="C184" s="428">
        <v>1</v>
      </c>
      <c r="D184" s="427" t="s">
        <v>5</v>
      </c>
      <c r="E184" s="429">
        <v>6.419969999999999</v>
      </c>
      <c r="F184" s="429">
        <v>6.419969999999999</v>
      </c>
      <c r="G184" s="647">
        <f t="shared" si="18"/>
        <v>1.7308239119999997</v>
      </c>
      <c r="H184" s="646">
        <f t="shared" si="19"/>
        <v>8.150793912</v>
      </c>
      <c r="I184" s="430">
        <f>H184/$H$186</f>
        <v>3.6511317907796174E-05</v>
      </c>
      <c r="J184" s="430">
        <f>J183+I184</f>
        <v>0.999967908068344</v>
      </c>
      <c r="K184" s="63" t="s">
        <v>22</v>
      </c>
      <c r="L184" s="536"/>
    </row>
    <row r="185" spans="1:17" s="419" customFormat="1" ht="12.75">
      <c r="A185" s="502" t="s">
        <v>1705</v>
      </c>
      <c r="B185" s="533" t="s">
        <v>1394</v>
      </c>
      <c r="C185" s="428">
        <v>1</v>
      </c>
      <c r="D185" s="427" t="s">
        <v>5</v>
      </c>
      <c r="E185" s="429">
        <v>5.617284</v>
      </c>
      <c r="F185" s="429">
        <v>5.617284</v>
      </c>
      <c r="G185" s="647">
        <f t="shared" si="18"/>
        <v>1.5144197663999999</v>
      </c>
      <c r="H185" s="646">
        <f t="shared" si="19"/>
        <v>7.131703766399999</v>
      </c>
      <c r="I185" s="430">
        <f>H185/$H$186</f>
        <v>3.194632403303706E-05</v>
      </c>
      <c r="J185" s="430">
        <f>J184+I185</f>
        <v>0.999999854392377</v>
      </c>
      <c r="K185" s="63" t="s">
        <v>22</v>
      </c>
      <c r="L185" s="536"/>
      <c r="N185" s="1"/>
      <c r="O185" s="1"/>
      <c r="P185" s="1"/>
      <c r="Q185" s="1"/>
    </row>
    <row r="186" spans="1:17" s="3" customFormat="1" ht="12.75">
      <c r="A186" s="863"/>
      <c r="B186" s="864"/>
      <c r="C186" s="864"/>
      <c r="D186" s="864"/>
      <c r="E186" s="865"/>
      <c r="F186" s="420">
        <f>ROUNDUP(SUM(F13:F185),2)</f>
        <v>175835.05000000002</v>
      </c>
      <c r="G186" s="420">
        <f>ROUNDUP(SUM(G13:G185),2)+0.02</f>
        <v>47405.15</v>
      </c>
      <c r="H186" s="420">
        <f>SUM(F186:G186)</f>
        <v>223240.2</v>
      </c>
      <c r="I186" s="61"/>
      <c r="J186" s="61"/>
      <c r="K186" s="61"/>
      <c r="N186" s="1"/>
      <c r="O186" s="1"/>
      <c r="P186" s="1"/>
      <c r="Q186" s="1"/>
    </row>
    <row r="187" spans="1:17" s="3" customFormat="1" ht="12.75">
      <c r="A187" s="10"/>
      <c r="B187" s="518"/>
      <c r="C187" s="2"/>
      <c r="D187" s="2"/>
      <c r="E187" s="2"/>
      <c r="F187" s="11" t="s">
        <v>36</v>
      </c>
      <c r="G187" s="11" t="s">
        <v>27</v>
      </c>
      <c r="H187" s="11" t="s">
        <v>37</v>
      </c>
      <c r="I187" s="61"/>
      <c r="J187" s="61"/>
      <c r="K187" s="61"/>
      <c r="L187" s="1"/>
      <c r="M187" s="1"/>
      <c r="N187" s="1"/>
      <c r="O187" s="1"/>
      <c r="P187" s="1"/>
      <c r="Q187" s="1"/>
    </row>
    <row r="188" spans="1:11" ht="12.75">
      <c r="A188" s="5"/>
      <c r="B188" s="2"/>
      <c r="C188" s="2"/>
      <c r="D188" s="2"/>
      <c r="E188" s="2"/>
      <c r="F188" s="2"/>
      <c r="G188" s="2"/>
      <c r="H188" s="2"/>
      <c r="I188" s="1"/>
      <c r="J188" s="61"/>
      <c r="K188" s="61"/>
    </row>
    <row r="189" spans="1:11" ht="12.75">
      <c r="A189" s="5"/>
      <c r="B189" s="2"/>
      <c r="C189" s="2"/>
      <c r="D189" s="2"/>
      <c r="E189" s="2"/>
      <c r="F189" s="261"/>
      <c r="G189" s="261"/>
      <c r="H189" s="261"/>
      <c r="I189" s="1"/>
      <c r="J189" s="61"/>
      <c r="K189" s="61"/>
    </row>
    <row r="190" spans="1:11" ht="12.75">
      <c r="A190" s="746" t="s">
        <v>3</v>
      </c>
      <c r="B190" s="748"/>
      <c r="C190" s="746" t="s">
        <v>364</v>
      </c>
      <c r="D190" s="747"/>
      <c r="E190" s="747"/>
      <c r="F190" s="748"/>
      <c r="G190" s="566" t="s">
        <v>364</v>
      </c>
      <c r="H190" s="567"/>
      <c r="I190" s="568"/>
      <c r="J190" s="61"/>
      <c r="K190" s="61"/>
    </row>
    <row r="191" spans="1:11" ht="12.75">
      <c r="A191" s="846" t="s">
        <v>366</v>
      </c>
      <c r="B191" s="847"/>
      <c r="C191" s="143"/>
      <c r="D191" s="144"/>
      <c r="E191" s="144"/>
      <c r="F191" s="144"/>
      <c r="G191" s="147"/>
      <c r="H191" s="188"/>
      <c r="I191" s="189"/>
      <c r="J191" s="61"/>
      <c r="K191" s="61"/>
    </row>
    <row r="192" spans="1:9" ht="12.75">
      <c r="A192" s="153"/>
      <c r="B192" s="154"/>
      <c r="C192" s="155"/>
      <c r="D192" s="156"/>
      <c r="E192" s="156"/>
      <c r="F192" s="156"/>
      <c r="G192" s="159"/>
      <c r="H192" s="160"/>
      <c r="I192" s="190"/>
    </row>
    <row r="193" spans="1:9" ht="12.75">
      <c r="A193" s="848" t="s">
        <v>367</v>
      </c>
      <c r="B193" s="849"/>
      <c r="C193" s="148"/>
      <c r="D193" s="149"/>
      <c r="E193" s="149"/>
      <c r="F193" s="149"/>
      <c r="G193" s="152"/>
      <c r="H193" s="164"/>
      <c r="I193" s="191"/>
    </row>
  </sheetData>
  <sheetProtection/>
  <mergeCells count="12">
    <mergeCell ref="O10:O11"/>
    <mergeCell ref="A191:B191"/>
    <mergeCell ref="F1:K1"/>
    <mergeCell ref="A9:K9"/>
    <mergeCell ref="F10:H10"/>
    <mergeCell ref="I10:K10"/>
    <mergeCell ref="A193:B193"/>
    <mergeCell ref="A186:E186"/>
    <mergeCell ref="A190:B190"/>
    <mergeCell ref="C190:D190"/>
    <mergeCell ref="E190:F190"/>
    <mergeCell ref="N10:N11"/>
  </mergeCells>
  <printOptions horizontalCentered="1"/>
  <pageMargins left="0.3937007874015748" right="0.3937007874015748" top="0.5905511811023623" bottom="0.3937007874015748" header="0.1968503937007874" footer="0.1968503937007874"/>
  <pageSetup fitToHeight="0" horizontalDpi="600" verticalDpi="600" orientation="portrait" paperSize="9" scale="40" r:id="rId2"/>
  <headerFooter>
    <oddHeader>&amp;L&amp;G</oddHeader>
    <oddFooter>&amp;L&amp;"-,Regular"&amp;A&amp;R&amp;"-,Regular"Página &amp;P de &amp;N</oddFooter>
  </headerFooter>
  <rowBreaks count="1" manualBreakCount="1">
    <brk id="80" max="10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44"/>
  <sheetViews>
    <sheetView view="pageBreakPreview" zoomScale="70" zoomScaleNormal="82" zoomScaleSheetLayoutView="70" zoomScalePageLayoutView="0" workbookViewId="0" topLeftCell="A1">
      <pane xSplit="8" ySplit="16" topLeftCell="I26" activePane="bottomRight" state="frozen"/>
      <selection pane="topLeft" activeCell="E303" sqref="E303"/>
      <selection pane="topRight" activeCell="E303" sqref="E303"/>
      <selection pane="bottomLeft" activeCell="E303" sqref="E303"/>
      <selection pane="bottomRight" activeCell="BF28" sqref="BF28"/>
    </sheetView>
  </sheetViews>
  <sheetFormatPr defaultColWidth="9.33203125" defaultRowHeight="12.75"/>
  <cols>
    <col min="1" max="1" width="17.66015625" style="37" customWidth="1"/>
    <col min="2" max="2" width="37" style="37" customWidth="1"/>
    <col min="3" max="3" width="24.5" style="37" customWidth="1"/>
    <col min="4" max="4" width="19.66015625" style="37" customWidth="1"/>
    <col min="5" max="7" width="7.16015625" style="37" customWidth="1"/>
    <col min="8" max="8" width="7.33203125" style="37" customWidth="1"/>
    <col min="9" max="9" width="12.16015625" style="38" bestFit="1" customWidth="1"/>
    <col min="10" max="12" width="7.16015625" style="37" customWidth="1"/>
    <col min="13" max="13" width="7.33203125" style="37" customWidth="1"/>
    <col min="14" max="14" width="12.83203125" style="38" customWidth="1"/>
    <col min="15" max="22" width="4.33203125" style="37" hidden="1" customWidth="1"/>
    <col min="23" max="23" width="10.83203125" style="38" hidden="1" customWidth="1"/>
    <col min="24" max="31" width="4.33203125" style="37" hidden="1" customWidth="1"/>
    <col min="32" max="32" width="10.83203125" style="38" hidden="1" customWidth="1"/>
    <col min="33" max="40" width="4.33203125" style="37" hidden="1" customWidth="1"/>
    <col min="41" max="41" width="10.83203125" style="38" hidden="1" customWidth="1"/>
    <col min="42" max="49" width="4.33203125" style="37" hidden="1" customWidth="1"/>
    <col min="50" max="50" width="9.5" style="38" hidden="1" customWidth="1"/>
    <col min="51" max="51" width="12.33203125" style="37" customWidth="1"/>
    <col min="52" max="52" width="25.66015625" style="37" customWidth="1"/>
    <col min="53" max="16384" width="9.33203125" style="37" customWidth="1"/>
  </cols>
  <sheetData>
    <row r="1" spans="1:3" ht="15">
      <c r="A1" s="50"/>
      <c r="B1" s="1"/>
      <c r="C1" s="1"/>
    </row>
    <row r="2" spans="1:3" ht="15">
      <c r="A2" s="50"/>
      <c r="B2" s="1"/>
      <c r="C2" s="1"/>
    </row>
    <row r="3" spans="1:3" ht="15">
      <c r="A3" s="50"/>
      <c r="B3" s="1"/>
      <c r="C3" s="1"/>
    </row>
    <row r="4" spans="1:3" ht="15">
      <c r="A4" s="50"/>
      <c r="B4" s="1"/>
      <c r="C4" s="1"/>
    </row>
    <row r="5" spans="1:4" ht="15">
      <c r="A5" s="842" t="s">
        <v>273</v>
      </c>
      <c r="B5" s="842"/>
      <c r="C5" s="842"/>
      <c r="D5" s="842"/>
    </row>
    <row r="6" spans="1:4" ht="15">
      <c r="A6" s="769" t="s">
        <v>274</v>
      </c>
      <c r="B6" s="769"/>
      <c r="C6" s="755" t="s">
        <v>275</v>
      </c>
      <c r="D6" s="755"/>
    </row>
    <row r="7" spans="1:4" ht="15">
      <c r="A7" s="758" t="s">
        <v>276</v>
      </c>
      <c r="B7" s="758"/>
      <c r="C7" s="733" t="s">
        <v>277</v>
      </c>
      <c r="D7" s="733"/>
    </row>
    <row r="8" spans="1:4" ht="15">
      <c r="A8" s="758" t="s">
        <v>278</v>
      </c>
      <c r="B8" s="758"/>
      <c r="C8" s="756" t="s">
        <v>279</v>
      </c>
      <c r="D8" s="756"/>
    </row>
    <row r="9" spans="1:4" ht="15">
      <c r="A9" s="758" t="s">
        <v>54</v>
      </c>
      <c r="B9" s="758"/>
      <c r="C9" s="757">
        <v>43245</v>
      </c>
      <c r="D9" s="757"/>
    </row>
    <row r="10" spans="1:4" ht="15">
      <c r="A10" s="758" t="s">
        <v>280</v>
      </c>
      <c r="B10" s="758"/>
      <c r="C10" s="733" t="s">
        <v>1832</v>
      </c>
      <c r="D10" s="733"/>
    </row>
    <row r="11" spans="1:4" ht="15">
      <c r="A11" s="758" t="s">
        <v>281</v>
      </c>
      <c r="B11" s="758"/>
      <c r="C11" s="733" t="s">
        <v>1134</v>
      </c>
      <c r="D11" s="733"/>
    </row>
    <row r="12" spans="1:3" ht="4.5" customHeight="1">
      <c r="A12" s="50"/>
      <c r="B12" s="50"/>
      <c r="C12" s="50"/>
    </row>
    <row r="13" spans="1:50" ht="42" customHeight="1">
      <c r="A13" s="869" t="s">
        <v>62</v>
      </c>
      <c r="B13" s="870"/>
      <c r="C13" s="870"/>
      <c r="D13" s="871"/>
      <c r="E13" s="872"/>
      <c r="F13" s="872"/>
      <c r="G13" s="872"/>
      <c r="H13" s="872"/>
      <c r="I13" s="872"/>
      <c r="J13" s="872"/>
      <c r="K13" s="872"/>
      <c r="L13" s="872"/>
      <c r="M13" s="872"/>
      <c r="N13" s="872"/>
      <c r="O13" s="872"/>
      <c r="P13" s="872"/>
      <c r="Q13" s="872"/>
      <c r="R13" s="872"/>
      <c r="S13" s="872"/>
      <c r="T13" s="872"/>
      <c r="U13" s="872"/>
      <c r="V13" s="872"/>
      <c r="W13" s="872"/>
      <c r="X13" s="872"/>
      <c r="Y13" s="872"/>
      <c r="Z13" s="872"/>
      <c r="AA13" s="872"/>
      <c r="AB13" s="872"/>
      <c r="AC13" s="872"/>
      <c r="AD13" s="872"/>
      <c r="AE13" s="872"/>
      <c r="AF13" s="872"/>
      <c r="AG13" s="872"/>
      <c r="AH13" s="872"/>
      <c r="AI13" s="872"/>
      <c r="AJ13" s="872"/>
      <c r="AK13" s="872"/>
      <c r="AL13" s="872"/>
      <c r="AM13" s="872"/>
      <c r="AN13" s="872"/>
      <c r="AO13" s="872"/>
      <c r="AP13" s="872"/>
      <c r="AQ13" s="872"/>
      <c r="AR13" s="872"/>
      <c r="AS13" s="872"/>
      <c r="AT13" s="872"/>
      <c r="AU13" s="872"/>
      <c r="AV13" s="872"/>
      <c r="AW13" s="872"/>
      <c r="AX13" s="872"/>
    </row>
    <row r="14" spans="1:52" ht="15">
      <c r="A14" s="883" t="s">
        <v>67</v>
      </c>
      <c r="B14" s="883" t="s">
        <v>56</v>
      </c>
      <c r="C14" s="886" t="s">
        <v>7</v>
      </c>
      <c r="D14" s="883" t="s">
        <v>8</v>
      </c>
      <c r="E14" s="883" t="s">
        <v>9</v>
      </c>
      <c r="F14" s="883"/>
      <c r="G14" s="883"/>
      <c r="H14" s="883"/>
      <c r="I14" s="39"/>
      <c r="J14" s="884" t="s">
        <v>10</v>
      </c>
      <c r="K14" s="884"/>
      <c r="L14" s="884"/>
      <c r="M14" s="884"/>
      <c r="N14" s="30"/>
      <c r="O14" s="884" t="s">
        <v>11</v>
      </c>
      <c r="P14" s="884"/>
      <c r="Q14" s="884"/>
      <c r="R14" s="884"/>
      <c r="S14" s="884"/>
      <c r="T14" s="884"/>
      <c r="U14" s="884"/>
      <c r="V14" s="884"/>
      <c r="W14" s="30"/>
      <c r="X14" s="884" t="s">
        <v>12</v>
      </c>
      <c r="Y14" s="884"/>
      <c r="Z14" s="884"/>
      <c r="AA14" s="884"/>
      <c r="AB14" s="884"/>
      <c r="AC14" s="884"/>
      <c r="AD14" s="884"/>
      <c r="AE14" s="884"/>
      <c r="AF14" s="30"/>
      <c r="AG14" s="884" t="s">
        <v>93</v>
      </c>
      <c r="AH14" s="884"/>
      <c r="AI14" s="884"/>
      <c r="AJ14" s="884"/>
      <c r="AK14" s="884"/>
      <c r="AL14" s="884"/>
      <c r="AM14" s="884"/>
      <c r="AN14" s="884"/>
      <c r="AO14" s="30"/>
      <c r="AP14" s="884" t="s">
        <v>94</v>
      </c>
      <c r="AQ14" s="884"/>
      <c r="AR14" s="884"/>
      <c r="AS14" s="884"/>
      <c r="AT14" s="884"/>
      <c r="AU14" s="884"/>
      <c r="AV14" s="884"/>
      <c r="AW14" s="884"/>
      <c r="AX14" s="30"/>
      <c r="AZ14" s="40" t="s">
        <v>27</v>
      </c>
    </row>
    <row r="15" spans="1:52" ht="15">
      <c r="A15" s="883"/>
      <c r="B15" s="883"/>
      <c r="C15" s="886"/>
      <c r="D15" s="883"/>
      <c r="E15" s="883" t="s">
        <v>58</v>
      </c>
      <c r="F15" s="883"/>
      <c r="G15" s="883"/>
      <c r="H15" s="883"/>
      <c r="I15" s="39"/>
      <c r="J15" s="883" t="s">
        <v>59</v>
      </c>
      <c r="K15" s="883"/>
      <c r="L15" s="883"/>
      <c r="M15" s="883"/>
      <c r="N15" s="30"/>
      <c r="O15" s="883" t="s">
        <v>95</v>
      </c>
      <c r="P15" s="883"/>
      <c r="Q15" s="883"/>
      <c r="R15" s="883"/>
      <c r="S15" s="883"/>
      <c r="T15" s="883"/>
      <c r="U15" s="883"/>
      <c r="V15" s="883"/>
      <c r="W15" s="30"/>
      <c r="X15" s="883" t="s">
        <v>96</v>
      </c>
      <c r="Y15" s="883"/>
      <c r="Z15" s="883"/>
      <c r="AA15" s="883"/>
      <c r="AB15" s="883"/>
      <c r="AC15" s="883"/>
      <c r="AD15" s="883"/>
      <c r="AE15" s="883"/>
      <c r="AF15" s="30"/>
      <c r="AG15" s="883" t="s">
        <v>97</v>
      </c>
      <c r="AH15" s="883"/>
      <c r="AI15" s="883"/>
      <c r="AJ15" s="883"/>
      <c r="AK15" s="883"/>
      <c r="AL15" s="883"/>
      <c r="AM15" s="883"/>
      <c r="AN15" s="883"/>
      <c r="AO15" s="30"/>
      <c r="AP15" s="883" t="s">
        <v>98</v>
      </c>
      <c r="AQ15" s="883"/>
      <c r="AR15" s="883"/>
      <c r="AS15" s="883"/>
      <c r="AT15" s="883"/>
      <c r="AU15" s="883"/>
      <c r="AV15" s="883"/>
      <c r="AW15" s="883"/>
      <c r="AX15" s="30"/>
      <c r="AZ15" s="192">
        <f>'Cálculo de BDI'!D25</f>
        <v>0.2695688486306802</v>
      </c>
    </row>
    <row r="16" spans="1:50" ht="15">
      <c r="A16" s="883"/>
      <c r="B16" s="883"/>
      <c r="C16" s="886"/>
      <c r="D16" s="883"/>
      <c r="E16" s="883" t="s">
        <v>1257</v>
      </c>
      <c r="F16" s="883"/>
      <c r="G16" s="883"/>
      <c r="H16" s="883"/>
      <c r="I16" s="41" t="s">
        <v>8</v>
      </c>
      <c r="J16" s="883" t="s">
        <v>1257</v>
      </c>
      <c r="K16" s="883"/>
      <c r="L16" s="883"/>
      <c r="M16" s="883"/>
      <c r="N16" s="74" t="s">
        <v>8</v>
      </c>
      <c r="O16" s="883" t="s">
        <v>2</v>
      </c>
      <c r="P16" s="883"/>
      <c r="Q16" s="883"/>
      <c r="R16" s="883"/>
      <c r="S16" s="883" t="s">
        <v>13</v>
      </c>
      <c r="T16" s="883"/>
      <c r="U16" s="883"/>
      <c r="V16" s="883"/>
      <c r="W16" s="74" t="s">
        <v>8</v>
      </c>
      <c r="X16" s="883" t="s">
        <v>2</v>
      </c>
      <c r="Y16" s="883"/>
      <c r="Z16" s="883"/>
      <c r="AA16" s="883"/>
      <c r="AB16" s="883" t="s">
        <v>13</v>
      </c>
      <c r="AC16" s="883"/>
      <c r="AD16" s="883"/>
      <c r="AE16" s="883"/>
      <c r="AF16" s="74" t="s">
        <v>8</v>
      </c>
      <c r="AG16" s="883" t="s">
        <v>2</v>
      </c>
      <c r="AH16" s="883"/>
      <c r="AI16" s="883"/>
      <c r="AJ16" s="883"/>
      <c r="AK16" s="883" t="s">
        <v>13</v>
      </c>
      <c r="AL16" s="883"/>
      <c r="AM16" s="883"/>
      <c r="AN16" s="883"/>
      <c r="AO16" s="74" t="s">
        <v>8</v>
      </c>
      <c r="AP16" s="883" t="s">
        <v>2</v>
      </c>
      <c r="AQ16" s="883"/>
      <c r="AR16" s="883"/>
      <c r="AS16" s="883"/>
      <c r="AT16" s="883" t="s">
        <v>13</v>
      </c>
      <c r="AU16" s="883"/>
      <c r="AV16" s="883"/>
      <c r="AW16" s="883"/>
      <c r="AX16" s="41" t="s">
        <v>8</v>
      </c>
    </row>
    <row r="17" spans="1:51" ht="15">
      <c r="A17" s="873" t="str">
        <f>'Orçamento resumido'!B18</f>
        <v>02.00.000</v>
      </c>
      <c r="B17" s="875" t="str">
        <f>'Orçamento resumido'!C18</f>
        <v>SERVIÇOS PRELIMINARES</v>
      </c>
      <c r="C17" s="877">
        <f>'Orçamento resumido'!D18</f>
        <v>22314.52</v>
      </c>
      <c r="D17" s="879">
        <f>C17/$C$31</f>
        <v>0.09995744494047219</v>
      </c>
      <c r="E17" s="880">
        <f>ROUND(C17*I17,2)</f>
        <v>22314.52</v>
      </c>
      <c r="F17" s="881"/>
      <c r="G17" s="881"/>
      <c r="H17" s="882"/>
      <c r="I17" s="30">
        <v>1</v>
      </c>
      <c r="J17" s="880">
        <f>ROUND(C17*N17,2)</f>
        <v>0</v>
      </c>
      <c r="K17" s="881"/>
      <c r="L17" s="881"/>
      <c r="M17" s="882"/>
      <c r="N17" s="42">
        <v>0</v>
      </c>
      <c r="O17" s="880" t="e">
        <f>ROUND(#REF!*(1+$AZ$15)*W17,2)</f>
        <v>#REF!</v>
      </c>
      <c r="P17" s="881"/>
      <c r="Q17" s="881"/>
      <c r="R17" s="882"/>
      <c r="S17" s="880" t="e">
        <f>ROUND(#REF!*(1+$AZ$15)*W17,2)</f>
        <v>#REF!</v>
      </c>
      <c r="T17" s="881"/>
      <c r="U17" s="881"/>
      <c r="V17" s="882"/>
      <c r="W17" s="42">
        <v>0</v>
      </c>
      <c r="X17" s="880" t="e">
        <f>ROUND(#REF!*(1+$AZ$15)*AF17,2)</f>
        <v>#REF!</v>
      </c>
      <c r="Y17" s="881"/>
      <c r="Z17" s="881"/>
      <c r="AA17" s="882"/>
      <c r="AB17" s="880" t="e">
        <f>ROUND(#REF!*(1+$AZ$15)*AF17,2)</f>
        <v>#REF!</v>
      </c>
      <c r="AC17" s="881"/>
      <c r="AD17" s="881"/>
      <c r="AE17" s="882"/>
      <c r="AF17" s="42">
        <v>0</v>
      </c>
      <c r="AG17" s="880" t="e">
        <f>ROUND(#REF!*(1+$AZ$15)*AO17,2)</f>
        <v>#REF!</v>
      </c>
      <c r="AH17" s="881"/>
      <c r="AI17" s="881"/>
      <c r="AJ17" s="882"/>
      <c r="AK17" s="880" t="e">
        <f>ROUND(#REF!*(1+$AZ$15)*AO17,2)</f>
        <v>#REF!</v>
      </c>
      <c r="AL17" s="881"/>
      <c r="AM17" s="881"/>
      <c r="AN17" s="882"/>
      <c r="AO17" s="42">
        <v>0</v>
      </c>
      <c r="AP17" s="880" t="e">
        <f>ROUND(#REF!*(1+$AZ$15)*AX17,2)</f>
        <v>#REF!</v>
      </c>
      <c r="AQ17" s="881"/>
      <c r="AR17" s="881"/>
      <c r="AS17" s="882"/>
      <c r="AT17" s="880" t="e">
        <f>ROUND(#REF!*(1+$AZ$15)*AX17,2)</f>
        <v>#REF!</v>
      </c>
      <c r="AU17" s="881"/>
      <c r="AV17" s="881"/>
      <c r="AW17" s="882"/>
      <c r="AX17" s="42">
        <v>0</v>
      </c>
      <c r="AY17" s="43">
        <f aca="true" t="shared" si="0" ref="AY17:AY27">(J17+E17)-C17</f>
        <v>0</v>
      </c>
    </row>
    <row r="18" spans="1:51" ht="15">
      <c r="A18" s="874"/>
      <c r="B18" s="876"/>
      <c r="C18" s="878"/>
      <c r="D18" s="879"/>
      <c r="E18" s="44"/>
      <c r="F18" s="44"/>
      <c r="G18" s="44"/>
      <c r="H18" s="44"/>
      <c r="I18" s="30"/>
      <c r="J18" s="180"/>
      <c r="K18" s="180"/>
      <c r="L18" s="180"/>
      <c r="M18" s="180"/>
      <c r="N18" s="42"/>
      <c r="O18" s="180"/>
      <c r="P18" s="180"/>
      <c r="Q18" s="180"/>
      <c r="R18" s="180"/>
      <c r="S18" s="180"/>
      <c r="T18" s="180"/>
      <c r="U18" s="180"/>
      <c r="V18" s="180"/>
      <c r="W18" s="42"/>
      <c r="X18" s="180"/>
      <c r="Y18" s="180"/>
      <c r="Z18" s="180"/>
      <c r="AA18" s="180"/>
      <c r="AB18" s="180"/>
      <c r="AC18" s="180"/>
      <c r="AD18" s="180"/>
      <c r="AE18" s="180"/>
      <c r="AF18" s="42"/>
      <c r="AG18" s="180"/>
      <c r="AH18" s="180"/>
      <c r="AI18" s="180"/>
      <c r="AJ18" s="180"/>
      <c r="AK18" s="180"/>
      <c r="AL18" s="180"/>
      <c r="AM18" s="180"/>
      <c r="AN18" s="180"/>
      <c r="AO18" s="42"/>
      <c r="AP18" s="180"/>
      <c r="AQ18" s="180"/>
      <c r="AR18" s="180"/>
      <c r="AS18" s="180"/>
      <c r="AT18" s="180"/>
      <c r="AU18" s="180"/>
      <c r="AV18" s="180"/>
      <c r="AW18" s="180"/>
      <c r="AX18" s="42"/>
      <c r="AY18" s="43"/>
    </row>
    <row r="19" spans="1:51" ht="20.25" customHeight="1">
      <c r="A19" s="873" t="str">
        <f>'Orçamento resumido'!B19</f>
        <v>04.00.000</v>
      </c>
      <c r="B19" s="875" t="str">
        <f>'Orçamento resumido'!C19</f>
        <v>ARQUITETURA E ELEMENTOS DE URBANISMO</v>
      </c>
      <c r="C19" s="877">
        <f>'Orçamento resumido'!D19</f>
        <v>116771.36</v>
      </c>
      <c r="D19" s="879">
        <f>C19/$C$31</f>
        <v>0.5230749658887601</v>
      </c>
      <c r="E19" s="890">
        <f>ROUND(C19*I19,2)</f>
        <v>46708.54</v>
      </c>
      <c r="F19" s="891"/>
      <c r="G19" s="891"/>
      <c r="H19" s="892"/>
      <c r="I19" s="30">
        <v>0.4</v>
      </c>
      <c r="J19" s="890">
        <f>ROUND(C19*N19,2)</f>
        <v>70062.82</v>
      </c>
      <c r="K19" s="891"/>
      <c r="L19" s="891"/>
      <c r="M19" s="892"/>
      <c r="N19" s="42">
        <v>0.6</v>
      </c>
      <c r="O19" s="890" t="e">
        <f>ROUND(#REF!*(1+$AZ$15)*W19,2)</f>
        <v>#REF!</v>
      </c>
      <c r="P19" s="891"/>
      <c r="Q19" s="891"/>
      <c r="R19" s="892"/>
      <c r="S19" s="890" t="e">
        <f>ROUND(#REF!*(1+$AZ$15)*W19,2)</f>
        <v>#REF!</v>
      </c>
      <c r="T19" s="891"/>
      <c r="U19" s="891"/>
      <c r="V19" s="892"/>
      <c r="W19" s="42">
        <v>0</v>
      </c>
      <c r="X19" s="890" t="e">
        <f>ROUND(#REF!*(1+$AZ$15)*AF19,2)</f>
        <v>#REF!</v>
      </c>
      <c r="Y19" s="891"/>
      <c r="Z19" s="891"/>
      <c r="AA19" s="892"/>
      <c r="AB19" s="890" t="e">
        <f>ROUND(#REF!*(1+$AZ$15)*AF19,2)</f>
        <v>#REF!</v>
      </c>
      <c r="AC19" s="891"/>
      <c r="AD19" s="891"/>
      <c r="AE19" s="892"/>
      <c r="AF19" s="42">
        <v>0</v>
      </c>
      <c r="AG19" s="890" t="e">
        <f>ROUND(#REF!*(1+$AZ$15)*AO19,2)</f>
        <v>#REF!</v>
      </c>
      <c r="AH19" s="891"/>
      <c r="AI19" s="891"/>
      <c r="AJ19" s="892"/>
      <c r="AK19" s="890" t="e">
        <f>ROUND(#REF!*(1+$AZ$15)*AO19,2)</f>
        <v>#REF!</v>
      </c>
      <c r="AL19" s="891"/>
      <c r="AM19" s="891"/>
      <c r="AN19" s="892"/>
      <c r="AO19" s="42">
        <v>0</v>
      </c>
      <c r="AP19" s="890" t="e">
        <f>ROUND(#REF!*(1+$AZ$15)*AX19,2)</f>
        <v>#REF!</v>
      </c>
      <c r="AQ19" s="891"/>
      <c r="AR19" s="891"/>
      <c r="AS19" s="892"/>
      <c r="AT19" s="890" t="e">
        <f>ROUND(#REF!*(1+$AZ$15)*AX19,2)</f>
        <v>#REF!</v>
      </c>
      <c r="AU19" s="891"/>
      <c r="AV19" s="891"/>
      <c r="AW19" s="892"/>
      <c r="AX19" s="42">
        <v>0</v>
      </c>
      <c r="AY19" s="43">
        <f t="shared" si="0"/>
        <v>0</v>
      </c>
    </row>
    <row r="20" spans="1:51" ht="18.75" customHeight="1">
      <c r="A20" s="874"/>
      <c r="B20" s="876"/>
      <c r="C20" s="878"/>
      <c r="D20" s="879"/>
      <c r="E20" s="45"/>
      <c r="F20" s="45"/>
      <c r="G20" s="44"/>
      <c r="H20" s="44"/>
      <c r="I20" s="30"/>
      <c r="J20" s="32"/>
      <c r="K20" s="32"/>
      <c r="L20" s="277"/>
      <c r="M20" s="277"/>
      <c r="N20" s="42"/>
      <c r="O20" s="180"/>
      <c r="P20" s="180"/>
      <c r="Q20" s="180"/>
      <c r="R20" s="180"/>
      <c r="S20" s="180"/>
      <c r="T20" s="180"/>
      <c r="U20" s="180"/>
      <c r="V20" s="180"/>
      <c r="W20" s="42"/>
      <c r="X20" s="180"/>
      <c r="Y20" s="180"/>
      <c r="Z20" s="180"/>
      <c r="AA20" s="180"/>
      <c r="AB20" s="180"/>
      <c r="AC20" s="180"/>
      <c r="AD20" s="180"/>
      <c r="AE20" s="180"/>
      <c r="AF20" s="42"/>
      <c r="AG20" s="180"/>
      <c r="AH20" s="180"/>
      <c r="AI20" s="180"/>
      <c r="AJ20" s="180"/>
      <c r="AK20" s="180"/>
      <c r="AL20" s="180"/>
      <c r="AM20" s="180"/>
      <c r="AN20" s="180"/>
      <c r="AO20" s="42"/>
      <c r="AP20" s="180"/>
      <c r="AQ20" s="180"/>
      <c r="AR20" s="180"/>
      <c r="AS20" s="180"/>
      <c r="AT20" s="180"/>
      <c r="AU20" s="180"/>
      <c r="AV20" s="180"/>
      <c r="AW20" s="180"/>
      <c r="AX20" s="42"/>
      <c r="AY20" s="43"/>
    </row>
    <row r="21" spans="1:51" ht="15" customHeight="1">
      <c r="A21" s="873" t="str">
        <f>'Orçamento resumido'!B20</f>
        <v>05.00.000</v>
      </c>
      <c r="B21" s="875" t="str">
        <f>'Orçamento resumido'!C20</f>
        <v>INSTALAÇÕES HIDRAÚLICAS E SANITÁRIAS</v>
      </c>
      <c r="C21" s="877">
        <f>'Orçamento resumido'!D20</f>
        <v>39169.24</v>
      </c>
      <c r="D21" s="879">
        <f>C21/$C$31</f>
        <v>0.17545782524831996</v>
      </c>
      <c r="E21" s="887">
        <f>ROUNDUP(C21*I21,2)</f>
        <v>39169.24</v>
      </c>
      <c r="F21" s="887"/>
      <c r="G21" s="887"/>
      <c r="H21" s="887"/>
      <c r="I21" s="30">
        <v>1</v>
      </c>
      <c r="J21" s="887">
        <f>ROUND(C21*N21,2)</f>
        <v>0</v>
      </c>
      <c r="K21" s="887"/>
      <c r="L21" s="887"/>
      <c r="M21" s="887"/>
      <c r="N21" s="42">
        <v>0</v>
      </c>
      <c r="O21" s="887"/>
      <c r="P21" s="887"/>
      <c r="Q21" s="887"/>
      <c r="R21" s="887"/>
      <c r="S21" s="887"/>
      <c r="T21" s="887"/>
      <c r="U21" s="887"/>
      <c r="V21" s="887"/>
      <c r="W21" s="42">
        <v>0</v>
      </c>
      <c r="X21" s="887"/>
      <c r="Y21" s="887"/>
      <c r="Z21" s="887"/>
      <c r="AA21" s="887"/>
      <c r="AB21" s="887"/>
      <c r="AC21" s="887"/>
      <c r="AD21" s="887"/>
      <c r="AE21" s="887"/>
      <c r="AF21" s="42">
        <v>0</v>
      </c>
      <c r="AG21" s="887"/>
      <c r="AH21" s="887"/>
      <c r="AI21" s="887"/>
      <c r="AJ21" s="887"/>
      <c r="AK21" s="887"/>
      <c r="AL21" s="887"/>
      <c r="AM21" s="887"/>
      <c r="AN21" s="887"/>
      <c r="AO21" s="42">
        <v>0</v>
      </c>
      <c r="AP21" s="887"/>
      <c r="AQ21" s="887"/>
      <c r="AR21" s="887"/>
      <c r="AS21" s="887"/>
      <c r="AT21" s="887"/>
      <c r="AU21" s="887"/>
      <c r="AV21" s="887"/>
      <c r="AW21" s="887"/>
      <c r="AX21" s="42">
        <v>0</v>
      </c>
      <c r="AY21" s="43">
        <f t="shared" si="0"/>
        <v>0</v>
      </c>
    </row>
    <row r="22" spans="1:51" ht="21" customHeight="1">
      <c r="A22" s="874"/>
      <c r="B22" s="876"/>
      <c r="C22" s="878"/>
      <c r="D22" s="879"/>
      <c r="E22" s="32"/>
      <c r="F22" s="32"/>
      <c r="G22" s="32"/>
      <c r="H22" s="32"/>
      <c r="I22" s="30"/>
      <c r="J22" s="180"/>
      <c r="K22" s="180"/>
      <c r="L22" s="180"/>
      <c r="M22" s="180"/>
      <c r="N22" s="42"/>
      <c r="O22" s="180"/>
      <c r="P22" s="180"/>
      <c r="Q22" s="180"/>
      <c r="R22" s="180"/>
      <c r="S22" s="180"/>
      <c r="T22" s="180"/>
      <c r="U22" s="180"/>
      <c r="V22" s="180"/>
      <c r="W22" s="42"/>
      <c r="X22" s="180"/>
      <c r="Y22" s="180"/>
      <c r="Z22" s="180"/>
      <c r="AA22" s="180"/>
      <c r="AB22" s="180"/>
      <c r="AC22" s="180"/>
      <c r="AD22" s="180"/>
      <c r="AE22" s="180"/>
      <c r="AF22" s="42"/>
      <c r="AG22" s="180"/>
      <c r="AH22" s="180"/>
      <c r="AI22" s="180"/>
      <c r="AJ22" s="180"/>
      <c r="AK22" s="180"/>
      <c r="AL22" s="180"/>
      <c r="AM22" s="180"/>
      <c r="AN22" s="180"/>
      <c r="AO22" s="42"/>
      <c r="AP22" s="31"/>
      <c r="AQ22" s="31"/>
      <c r="AR22" s="31"/>
      <c r="AS22" s="31"/>
      <c r="AT22" s="31"/>
      <c r="AU22" s="31"/>
      <c r="AV22" s="31"/>
      <c r="AW22" s="31"/>
      <c r="AX22" s="42"/>
      <c r="AY22" s="43"/>
    </row>
    <row r="23" spans="1:51" ht="15" customHeight="1">
      <c r="A23" s="873" t="str">
        <f>'Orçamento resumido'!B21</f>
        <v>06.00.000</v>
      </c>
      <c r="B23" s="875" t="str">
        <f>'Orçamento resumido'!C21</f>
        <v>INSTALAÇÕES ELÉTRICAS E ELETRÔNICAS</v>
      </c>
      <c r="C23" s="877">
        <f>'Orçamento resumido'!D21</f>
        <v>22383.2</v>
      </c>
      <c r="D23" s="879">
        <f>C23/$C$31</f>
        <v>0.10026509562345849</v>
      </c>
      <c r="E23" s="887">
        <f>ROUND(C23*I23,2)</f>
        <v>16787.4</v>
      </c>
      <c r="F23" s="887"/>
      <c r="G23" s="887"/>
      <c r="H23" s="887"/>
      <c r="I23" s="30">
        <v>0.75</v>
      </c>
      <c r="J23" s="887">
        <f>ROUND(C23*N23,2)</f>
        <v>5595.8</v>
      </c>
      <c r="K23" s="887"/>
      <c r="L23" s="887"/>
      <c r="M23" s="887"/>
      <c r="N23" s="42">
        <v>0.25</v>
      </c>
      <c r="O23" s="887"/>
      <c r="P23" s="887"/>
      <c r="Q23" s="887"/>
      <c r="R23" s="887"/>
      <c r="S23" s="887"/>
      <c r="T23" s="887"/>
      <c r="U23" s="887"/>
      <c r="V23" s="887"/>
      <c r="W23" s="42">
        <v>0</v>
      </c>
      <c r="X23" s="887"/>
      <c r="Y23" s="887"/>
      <c r="Z23" s="887"/>
      <c r="AA23" s="887"/>
      <c r="AB23" s="887"/>
      <c r="AC23" s="887"/>
      <c r="AD23" s="887"/>
      <c r="AE23" s="887"/>
      <c r="AF23" s="42">
        <v>0</v>
      </c>
      <c r="AG23" s="887"/>
      <c r="AH23" s="887"/>
      <c r="AI23" s="887"/>
      <c r="AJ23" s="887"/>
      <c r="AK23" s="887"/>
      <c r="AL23" s="887"/>
      <c r="AM23" s="887"/>
      <c r="AN23" s="887"/>
      <c r="AO23" s="42">
        <v>0</v>
      </c>
      <c r="AP23" s="887"/>
      <c r="AQ23" s="887"/>
      <c r="AR23" s="887"/>
      <c r="AS23" s="887"/>
      <c r="AT23" s="887"/>
      <c r="AU23" s="887"/>
      <c r="AV23" s="887"/>
      <c r="AW23" s="887"/>
      <c r="AX23" s="42">
        <v>0</v>
      </c>
      <c r="AY23" s="43">
        <f t="shared" si="0"/>
        <v>0</v>
      </c>
    </row>
    <row r="24" spans="1:51" ht="15">
      <c r="A24" s="874"/>
      <c r="B24" s="876"/>
      <c r="C24" s="878"/>
      <c r="D24" s="879"/>
      <c r="E24" s="180"/>
      <c r="F24" s="32"/>
      <c r="G24" s="32"/>
      <c r="H24" s="32"/>
      <c r="I24" s="30"/>
      <c r="J24" s="32"/>
      <c r="K24" s="180"/>
      <c r="L24" s="180"/>
      <c r="M24" s="180"/>
      <c r="N24" s="42"/>
      <c r="O24" s="180"/>
      <c r="P24" s="180"/>
      <c r="Q24" s="180"/>
      <c r="R24" s="180"/>
      <c r="S24" s="180"/>
      <c r="T24" s="180"/>
      <c r="U24" s="180"/>
      <c r="V24" s="180"/>
      <c r="W24" s="42"/>
      <c r="X24" s="180"/>
      <c r="Y24" s="180"/>
      <c r="Z24" s="180"/>
      <c r="AA24" s="180"/>
      <c r="AB24" s="180"/>
      <c r="AC24" s="180"/>
      <c r="AD24" s="180"/>
      <c r="AE24" s="180"/>
      <c r="AF24" s="42"/>
      <c r="AG24" s="180"/>
      <c r="AH24" s="180"/>
      <c r="AI24" s="180"/>
      <c r="AJ24" s="180"/>
      <c r="AK24" s="180"/>
      <c r="AL24" s="180"/>
      <c r="AM24" s="180"/>
      <c r="AN24" s="180"/>
      <c r="AO24" s="42"/>
      <c r="AP24" s="31"/>
      <c r="AQ24" s="31"/>
      <c r="AR24" s="31"/>
      <c r="AS24" s="31"/>
      <c r="AT24" s="31"/>
      <c r="AU24" s="31"/>
      <c r="AV24" s="31"/>
      <c r="AW24" s="31"/>
      <c r="AX24" s="42"/>
      <c r="AY24" s="43"/>
    </row>
    <row r="25" spans="1:51" ht="15">
      <c r="A25" s="873" t="str">
        <f>'Orçamento resumido'!B22</f>
        <v>07.00.000</v>
      </c>
      <c r="B25" s="875" t="str">
        <f>'Orçamento resumido'!C22</f>
        <v>INSTALAÇÕES MECÂNICAS E DE UTILIDADES</v>
      </c>
      <c r="C25" s="877">
        <f>'Orçamento resumido'!D22</f>
        <v>3232.5</v>
      </c>
      <c r="D25" s="879">
        <f>C25/$C$31</f>
        <v>0.01447991893933082</v>
      </c>
      <c r="E25" s="885">
        <f>ROUND(C25*I25,2)</f>
        <v>1293</v>
      </c>
      <c r="F25" s="885"/>
      <c r="G25" s="885"/>
      <c r="H25" s="885"/>
      <c r="I25" s="30">
        <v>0.4</v>
      </c>
      <c r="J25" s="885">
        <f>ROUND(C25*N25,2)</f>
        <v>1939.5</v>
      </c>
      <c r="K25" s="885"/>
      <c r="L25" s="885"/>
      <c r="M25" s="885"/>
      <c r="N25" s="42">
        <v>0.6</v>
      </c>
      <c r="O25" s="887" t="e">
        <f>ROUND(#REF!*(1+$AZ$15)*W25,2)</f>
        <v>#REF!</v>
      </c>
      <c r="P25" s="887"/>
      <c r="Q25" s="887"/>
      <c r="R25" s="887"/>
      <c r="S25" s="887" t="e">
        <f>ROUND(#REF!*(1+$AZ$15)*W25,2)</f>
        <v>#REF!</v>
      </c>
      <c r="T25" s="887"/>
      <c r="U25" s="887"/>
      <c r="V25" s="887"/>
      <c r="W25" s="42">
        <v>0</v>
      </c>
      <c r="X25" s="887" t="e">
        <f>ROUND(#REF!*(1+$AZ$15)*AF25,2)</f>
        <v>#REF!</v>
      </c>
      <c r="Y25" s="887"/>
      <c r="Z25" s="887"/>
      <c r="AA25" s="887"/>
      <c r="AB25" s="887" t="e">
        <f>ROUND(#REF!*(1+$AZ$15)*AF25,2)</f>
        <v>#REF!</v>
      </c>
      <c r="AC25" s="887"/>
      <c r="AD25" s="887"/>
      <c r="AE25" s="887"/>
      <c r="AF25" s="42">
        <v>0</v>
      </c>
      <c r="AG25" s="887" t="e">
        <f>ROUND(#REF!*(1+$AZ$15)*AO25,2)</f>
        <v>#REF!</v>
      </c>
      <c r="AH25" s="887"/>
      <c r="AI25" s="887"/>
      <c r="AJ25" s="887"/>
      <c r="AK25" s="887" t="e">
        <f>ROUND(#REF!*(1+$AZ$15)*AO25,2)</f>
        <v>#REF!</v>
      </c>
      <c r="AL25" s="887"/>
      <c r="AM25" s="887"/>
      <c r="AN25" s="887"/>
      <c r="AO25" s="42">
        <v>0</v>
      </c>
      <c r="AP25" s="887" t="e">
        <f>ROUND(#REF!*(1+$AZ$15)*AX25,2)</f>
        <v>#REF!</v>
      </c>
      <c r="AQ25" s="887"/>
      <c r="AR25" s="887"/>
      <c r="AS25" s="887"/>
      <c r="AT25" s="887" t="e">
        <f>ROUND(#REF!*(1+$AZ$15)*AX25,2)</f>
        <v>#REF!</v>
      </c>
      <c r="AU25" s="887"/>
      <c r="AV25" s="887"/>
      <c r="AW25" s="887"/>
      <c r="AX25" s="42">
        <v>0</v>
      </c>
      <c r="AY25" s="43">
        <f t="shared" si="0"/>
        <v>0</v>
      </c>
    </row>
    <row r="26" spans="1:51" ht="15">
      <c r="A26" s="874"/>
      <c r="B26" s="876"/>
      <c r="C26" s="878"/>
      <c r="D26" s="879"/>
      <c r="E26" s="45"/>
      <c r="F26" s="45"/>
      <c r="G26" s="44"/>
      <c r="H26" s="44"/>
      <c r="I26" s="42"/>
      <c r="J26" s="32"/>
      <c r="K26" s="32"/>
      <c r="L26" s="180"/>
      <c r="M26" s="180"/>
      <c r="N26" s="42"/>
      <c r="O26" s="180"/>
      <c r="P26" s="180"/>
      <c r="Q26" s="180"/>
      <c r="R26" s="180"/>
      <c r="S26" s="180"/>
      <c r="T26" s="180"/>
      <c r="U26" s="180"/>
      <c r="V26" s="180"/>
      <c r="W26" s="42"/>
      <c r="X26" s="180"/>
      <c r="Y26" s="180"/>
      <c r="Z26" s="180"/>
      <c r="AA26" s="180"/>
      <c r="AB26" s="180"/>
      <c r="AC26" s="180"/>
      <c r="AD26" s="180"/>
      <c r="AE26" s="180"/>
      <c r="AF26" s="42"/>
      <c r="AG26" s="180"/>
      <c r="AH26" s="180"/>
      <c r="AI26" s="180"/>
      <c r="AJ26" s="180"/>
      <c r="AK26" s="180"/>
      <c r="AL26" s="180"/>
      <c r="AM26" s="180"/>
      <c r="AN26" s="180"/>
      <c r="AO26" s="42"/>
      <c r="AP26" s="31"/>
      <c r="AQ26" s="31"/>
      <c r="AR26" s="31"/>
      <c r="AS26" s="31"/>
      <c r="AT26" s="31"/>
      <c r="AU26" s="31"/>
      <c r="AV26" s="31"/>
      <c r="AW26" s="31"/>
      <c r="AX26" s="42"/>
      <c r="AY26" s="43"/>
    </row>
    <row r="27" spans="1:51" ht="15">
      <c r="A27" s="873" t="str">
        <f>'Orçamento resumido'!B23</f>
        <v>09.00.000</v>
      </c>
      <c r="B27" s="875" t="str">
        <f>'Orçamento resumido'!C23</f>
        <v>SERVIÇOS COMPLEMENTARES</v>
      </c>
      <c r="C27" s="877">
        <f>'Orçamento resumido'!D23</f>
        <v>694.51</v>
      </c>
      <c r="D27" s="879">
        <f>C27/$C$31</f>
        <v>0.00311104362027986</v>
      </c>
      <c r="E27" s="890">
        <f>ROUND((C27*I27),2)</f>
        <v>277.8</v>
      </c>
      <c r="F27" s="891"/>
      <c r="G27" s="891"/>
      <c r="H27" s="892"/>
      <c r="I27" s="30">
        <v>0.4</v>
      </c>
      <c r="J27" s="890">
        <f>ROUND(C27*N27,2)</f>
        <v>416.71</v>
      </c>
      <c r="K27" s="891"/>
      <c r="L27" s="891"/>
      <c r="M27" s="892"/>
      <c r="N27" s="42">
        <v>0.6</v>
      </c>
      <c r="O27" s="890" t="e">
        <f>ROUND(#REF!*W27*(1+$AZ$15),2)</f>
        <v>#REF!</v>
      </c>
      <c r="P27" s="891"/>
      <c r="Q27" s="891"/>
      <c r="R27" s="892"/>
      <c r="S27" s="890" t="e">
        <f>ROUND(#REF!*W27*(1+$AZ$15),2)</f>
        <v>#REF!</v>
      </c>
      <c r="T27" s="891"/>
      <c r="U27" s="891"/>
      <c r="V27" s="892"/>
      <c r="W27" s="42">
        <v>0</v>
      </c>
      <c r="X27" s="890" t="e">
        <f>ROUND(#REF!*AF27*(1+$AZ$15),2)</f>
        <v>#REF!</v>
      </c>
      <c r="Y27" s="891"/>
      <c r="Z27" s="891"/>
      <c r="AA27" s="892"/>
      <c r="AB27" s="890" t="e">
        <f>ROUND(#REF!*AF27*(1+$AZ$15),2)</f>
        <v>#REF!</v>
      </c>
      <c r="AC27" s="891"/>
      <c r="AD27" s="891"/>
      <c r="AE27" s="892"/>
      <c r="AF27" s="42">
        <v>0</v>
      </c>
      <c r="AG27" s="890" t="e">
        <f>ROUND(#REF!*AO27*(1+$AZ$15),2)</f>
        <v>#REF!</v>
      </c>
      <c r="AH27" s="891"/>
      <c r="AI27" s="891"/>
      <c r="AJ27" s="892"/>
      <c r="AK27" s="890" t="e">
        <f>ROUND(#REF!*AO27*(1+$AZ$15),2)</f>
        <v>#REF!</v>
      </c>
      <c r="AL27" s="891"/>
      <c r="AM27" s="891"/>
      <c r="AN27" s="892"/>
      <c r="AO27" s="42">
        <v>0</v>
      </c>
      <c r="AP27" s="880" t="e">
        <f>ROUND(#REF!*AX27*(1+$AZ$15),2)</f>
        <v>#REF!</v>
      </c>
      <c r="AQ27" s="881"/>
      <c r="AR27" s="881"/>
      <c r="AS27" s="882"/>
      <c r="AT27" s="880" t="e">
        <f>ROUND(#REF!*AX27*(1+$AZ$15),2)</f>
        <v>#REF!</v>
      </c>
      <c r="AU27" s="881"/>
      <c r="AV27" s="881"/>
      <c r="AW27" s="882"/>
      <c r="AX27" s="42">
        <v>0</v>
      </c>
      <c r="AY27" s="43">
        <f t="shared" si="0"/>
        <v>0</v>
      </c>
    </row>
    <row r="28" spans="1:52" ht="15">
      <c r="A28" s="874"/>
      <c r="B28" s="876"/>
      <c r="C28" s="878"/>
      <c r="D28" s="879"/>
      <c r="E28" s="45"/>
      <c r="F28" s="45"/>
      <c r="G28" s="44"/>
      <c r="H28" s="44"/>
      <c r="I28" s="42"/>
      <c r="J28" s="32"/>
      <c r="K28" s="32"/>
      <c r="L28" s="180"/>
      <c r="M28" s="180"/>
      <c r="N28" s="42"/>
      <c r="O28" s="180"/>
      <c r="P28" s="180"/>
      <c r="Q28" s="180"/>
      <c r="R28" s="180"/>
      <c r="S28" s="180"/>
      <c r="T28" s="180"/>
      <c r="U28" s="180"/>
      <c r="V28" s="180"/>
      <c r="W28" s="42"/>
      <c r="X28" s="180"/>
      <c r="Y28" s="180"/>
      <c r="Z28" s="180"/>
      <c r="AA28" s="180"/>
      <c r="AB28" s="180"/>
      <c r="AC28" s="180"/>
      <c r="AD28" s="180"/>
      <c r="AE28" s="180"/>
      <c r="AF28" s="42"/>
      <c r="AG28" s="180"/>
      <c r="AH28" s="180"/>
      <c r="AI28" s="180"/>
      <c r="AJ28" s="180"/>
      <c r="AK28" s="180"/>
      <c r="AL28" s="180"/>
      <c r="AM28" s="180"/>
      <c r="AN28" s="180"/>
      <c r="AO28" s="42"/>
      <c r="AP28" s="75"/>
      <c r="AQ28" s="75"/>
      <c r="AR28" s="75"/>
      <c r="AS28" s="75"/>
      <c r="AT28" s="75"/>
      <c r="AU28" s="75"/>
      <c r="AV28" s="75"/>
      <c r="AW28" s="75"/>
      <c r="AX28" s="42"/>
      <c r="AY28" s="43"/>
      <c r="AZ28" s="46"/>
    </row>
    <row r="29" spans="1:51" ht="15">
      <c r="A29" s="873" t="str">
        <f>'Orçamento resumido'!B24</f>
        <v>10.00.000</v>
      </c>
      <c r="B29" s="875" t="str">
        <f>'Orçamento resumido'!C24</f>
        <v>SERVIÇOS AUXILIARES E ADMINISTRATIVOS</v>
      </c>
      <c r="C29" s="877">
        <f>'Orçamento resumido'!D24</f>
        <v>18674.87</v>
      </c>
      <c r="D29" s="879">
        <f>C29/$C$31</f>
        <v>0.08365370573937847</v>
      </c>
      <c r="E29" s="880">
        <f>ROUND((C29*I29),2)</f>
        <v>0</v>
      </c>
      <c r="F29" s="881"/>
      <c r="G29" s="881"/>
      <c r="H29" s="882"/>
      <c r="I29" s="42">
        <v>0</v>
      </c>
      <c r="J29" s="890">
        <f>ROUND(C29*N29,2)</f>
        <v>18674.87</v>
      </c>
      <c r="K29" s="891"/>
      <c r="L29" s="891"/>
      <c r="M29" s="892"/>
      <c r="N29" s="42">
        <v>1</v>
      </c>
      <c r="O29" s="890" t="e">
        <f>ROUND(#REF!*W29*(1+$AZ$15),2)</f>
        <v>#REF!</v>
      </c>
      <c r="P29" s="891"/>
      <c r="Q29" s="891"/>
      <c r="R29" s="892"/>
      <c r="S29" s="890" t="e">
        <f>ROUND(#REF!*W29*(1+$AZ$15),2)</f>
        <v>#REF!</v>
      </c>
      <c r="T29" s="891"/>
      <c r="U29" s="891"/>
      <c r="V29" s="892"/>
      <c r="W29" s="42">
        <v>0</v>
      </c>
      <c r="X29" s="890" t="e">
        <f>ROUND(#REF!*AF29*(1+$AZ$15),2)</f>
        <v>#REF!</v>
      </c>
      <c r="Y29" s="891"/>
      <c r="Z29" s="891"/>
      <c r="AA29" s="892"/>
      <c r="AB29" s="890" t="e">
        <f>ROUND(#REF!*AF29*(1+$AZ$15),2)</f>
        <v>#REF!</v>
      </c>
      <c r="AC29" s="891"/>
      <c r="AD29" s="891"/>
      <c r="AE29" s="892"/>
      <c r="AF29" s="42">
        <v>0</v>
      </c>
      <c r="AG29" s="890" t="e">
        <f>ROUND(#REF!*AO29*(1+$AZ$15),2)</f>
        <v>#REF!</v>
      </c>
      <c r="AH29" s="891"/>
      <c r="AI29" s="891"/>
      <c r="AJ29" s="892"/>
      <c r="AK29" s="890" t="e">
        <f>ROUND(#REF!*AO29*(1+$AZ$15),2)</f>
        <v>#REF!</v>
      </c>
      <c r="AL29" s="891"/>
      <c r="AM29" s="891"/>
      <c r="AN29" s="892"/>
      <c r="AO29" s="42">
        <v>0</v>
      </c>
      <c r="AP29" s="880" t="e">
        <f>ROUND(#REF!*AX29*(1+$AZ$15),2)</f>
        <v>#REF!</v>
      </c>
      <c r="AQ29" s="881"/>
      <c r="AR29" s="881"/>
      <c r="AS29" s="882"/>
      <c r="AT29" s="880" t="e">
        <f>ROUND(#REF!*AX29*(1+$AZ$15),2)</f>
        <v>#REF!</v>
      </c>
      <c r="AU29" s="881"/>
      <c r="AV29" s="881"/>
      <c r="AW29" s="882"/>
      <c r="AX29" s="42">
        <v>0</v>
      </c>
      <c r="AY29" s="43">
        <f>(J29+E29)-C29</f>
        <v>0</v>
      </c>
    </row>
    <row r="30" spans="1:51" ht="15">
      <c r="A30" s="874"/>
      <c r="B30" s="876"/>
      <c r="C30" s="878"/>
      <c r="D30" s="879"/>
      <c r="E30" s="31"/>
      <c r="F30" s="31"/>
      <c r="G30" s="31"/>
      <c r="H30" s="31"/>
      <c r="I30" s="42"/>
      <c r="J30" s="32"/>
      <c r="K30" s="32"/>
      <c r="L30" s="32"/>
      <c r="M30" s="32"/>
      <c r="N30" s="42"/>
      <c r="O30" s="180"/>
      <c r="P30" s="180"/>
      <c r="Q30" s="180"/>
      <c r="R30" s="180"/>
      <c r="S30" s="180"/>
      <c r="T30" s="180"/>
      <c r="U30" s="180"/>
      <c r="V30" s="180"/>
      <c r="W30" s="42"/>
      <c r="X30" s="180"/>
      <c r="Y30" s="180"/>
      <c r="Z30" s="180"/>
      <c r="AA30" s="180"/>
      <c r="AB30" s="180"/>
      <c r="AC30" s="180"/>
      <c r="AD30" s="180"/>
      <c r="AE30" s="180"/>
      <c r="AF30" s="42"/>
      <c r="AG30" s="180"/>
      <c r="AH30" s="180"/>
      <c r="AI30" s="180"/>
      <c r="AJ30" s="180"/>
      <c r="AK30" s="180"/>
      <c r="AL30" s="180"/>
      <c r="AM30" s="180"/>
      <c r="AN30" s="180"/>
      <c r="AO30" s="42"/>
      <c r="AP30" s="180"/>
      <c r="AQ30" s="180"/>
      <c r="AR30" s="180"/>
      <c r="AS30" s="180"/>
      <c r="AT30" s="180"/>
      <c r="AU30" s="180"/>
      <c r="AV30" s="180"/>
      <c r="AW30" s="180"/>
      <c r="AX30" s="42"/>
      <c r="AY30" s="43"/>
    </row>
    <row r="31" spans="1:51" ht="15">
      <c r="A31" s="909" t="s">
        <v>14</v>
      </c>
      <c r="B31" s="909"/>
      <c r="C31" s="33">
        <f>ROUNDDOWN(SUM(C17:C30),2)</f>
        <v>223240.2</v>
      </c>
      <c r="D31" s="34">
        <f>SUM(D17:D30)</f>
        <v>1</v>
      </c>
      <c r="E31" s="900">
        <f>SUM(E17,E19,E21,E23,E25,E27,E29,)</f>
        <v>126550.49999999999</v>
      </c>
      <c r="F31" s="901">
        <f>SUM(F17:F30)</f>
        <v>0</v>
      </c>
      <c r="G31" s="901">
        <f>SUM(G17:G30)</f>
        <v>0</v>
      </c>
      <c r="H31" s="902">
        <f>SUM(H17:H30)</f>
        <v>0</v>
      </c>
      <c r="I31" s="35">
        <f>E32/$E$34</f>
        <v>0.5668804274498946</v>
      </c>
      <c r="J31" s="896">
        <f>ROUNDDOWN(SUM(J17,J19,J21,J23,J25,J27,J29,),2)</f>
        <v>96689.7</v>
      </c>
      <c r="K31" s="897">
        <f>SUM(K17:K30)</f>
        <v>0</v>
      </c>
      <c r="L31" s="897">
        <f>SUM(L17:L30)</f>
        <v>0</v>
      </c>
      <c r="M31" s="898">
        <f>SUM(M17:M30)</f>
        <v>0</v>
      </c>
      <c r="N31" s="35">
        <f>J32/$E$34</f>
        <v>0.4331195725501052</v>
      </c>
      <c r="O31" s="896" t="e">
        <f>SUM(O17,O19,O21,O23,O25,O27,O29,#REF!,#REF!,#REF!,#REF!,#REF!,#REF!,#REF!,#REF!,#REF!,#REF!)</f>
        <v>#REF!</v>
      </c>
      <c r="P31" s="897">
        <f>SUM(P17:P30)</f>
        <v>0</v>
      </c>
      <c r="Q31" s="897">
        <f>SUM(Q17:Q30)</f>
        <v>0</v>
      </c>
      <c r="R31" s="898">
        <f>SUM(R17:R30)</f>
        <v>0</v>
      </c>
      <c r="S31" s="896" t="e">
        <f>SUM(S17,S19,S21,S23,S25,S27,S29,#REF!,#REF!,#REF!,#REF!,#REF!,#REF!,#REF!,#REF!,#REF!,#REF!)</f>
        <v>#REF!</v>
      </c>
      <c r="T31" s="897">
        <f>SUM(T17:T30)</f>
        <v>0</v>
      </c>
      <c r="U31" s="897">
        <f>SUM(U17:U30)</f>
        <v>0</v>
      </c>
      <c r="V31" s="898">
        <f>SUM(V17:V30)</f>
        <v>0</v>
      </c>
      <c r="W31" s="35" t="e">
        <f>O32/$E$34</f>
        <v>#REF!</v>
      </c>
      <c r="X31" s="896" t="e">
        <f>SUM(X17,X19,X21,X23,X25,X27,X29,#REF!,#REF!,#REF!,#REF!,#REF!,#REF!,#REF!,#REF!,#REF!,#REF!)</f>
        <v>#REF!</v>
      </c>
      <c r="Y31" s="897">
        <f>SUM(Y17:Y30)</f>
        <v>0</v>
      </c>
      <c r="Z31" s="897">
        <f>SUM(Z17:Z30)</f>
        <v>0</v>
      </c>
      <c r="AA31" s="898">
        <f>SUM(AA17:AA30)</f>
        <v>0</v>
      </c>
      <c r="AB31" s="896" t="e">
        <f>SUM(AB17,AB19,AB21,AB23,AB25,AB27,AB29,#REF!,#REF!,#REF!,#REF!,#REF!,#REF!,#REF!,#REF!,#REF!,#REF!)</f>
        <v>#REF!</v>
      </c>
      <c r="AC31" s="897">
        <f>SUM(AC17:AC30)</f>
        <v>0</v>
      </c>
      <c r="AD31" s="897">
        <f>SUM(AD17:AD30)</f>
        <v>0</v>
      </c>
      <c r="AE31" s="898">
        <f>SUM(AE17:AE30)</f>
        <v>0</v>
      </c>
      <c r="AF31" s="35" t="e">
        <f>X32/$E$34</f>
        <v>#REF!</v>
      </c>
      <c r="AG31" s="896" t="e">
        <f>SUM(AG17,AG19,AG21,AG23,AG25,AG27,AG29,#REF!,#REF!,#REF!,#REF!,#REF!,#REF!,#REF!,#REF!,#REF!,#REF!)</f>
        <v>#REF!</v>
      </c>
      <c r="AH31" s="897">
        <f>SUM(AH17:AH30)</f>
        <v>0</v>
      </c>
      <c r="AI31" s="897">
        <f>SUM(AI17:AI30)</f>
        <v>0</v>
      </c>
      <c r="AJ31" s="898">
        <f>SUM(AJ17:AJ30)</f>
        <v>0</v>
      </c>
      <c r="AK31" s="896" t="e">
        <f>SUM(AK17,AK19,AK21,AK23,AK25,AK27,AK29,#REF!,#REF!,#REF!,#REF!,#REF!,#REF!,#REF!,#REF!,#REF!,#REF!)</f>
        <v>#REF!</v>
      </c>
      <c r="AL31" s="897">
        <f>SUM(AL17:AL30)</f>
        <v>0</v>
      </c>
      <c r="AM31" s="897">
        <f>SUM(AM17:AM30)</f>
        <v>0</v>
      </c>
      <c r="AN31" s="898">
        <f>SUM(AN17:AN30)</f>
        <v>0</v>
      </c>
      <c r="AO31" s="35" t="e">
        <f>AG32/$E$34</f>
        <v>#REF!</v>
      </c>
      <c r="AP31" s="896" t="e">
        <f>SUM(AP17,AP19,AP21,AP23,AP25,AP27,AP29,#REF!,#REF!,#REF!,#REF!,#REF!,#REF!,#REF!,#REF!,#REF!,#REF!)</f>
        <v>#REF!</v>
      </c>
      <c r="AQ31" s="897">
        <f>SUM(AQ17:AQ30)</f>
        <v>0</v>
      </c>
      <c r="AR31" s="897">
        <f>SUM(AR17:AR30)</f>
        <v>0</v>
      </c>
      <c r="AS31" s="898">
        <f>SUM(AS17:AS30)</f>
        <v>0</v>
      </c>
      <c r="AT31" s="896" t="e">
        <f>SUM(AT17,AT19,AT21,AT23,AT25,AT27,AT29,#REF!,#REF!,#REF!,#REF!,#REF!,#REF!,#REF!,#REF!,#REF!,#REF!)</f>
        <v>#REF!</v>
      </c>
      <c r="AU31" s="897">
        <f>SUM(AU17:AU30)</f>
        <v>0</v>
      </c>
      <c r="AV31" s="897">
        <f>SUM(AV17:AV30)</f>
        <v>0</v>
      </c>
      <c r="AW31" s="898">
        <f>SUM(AW17:AW30)</f>
        <v>0</v>
      </c>
      <c r="AX31" s="35" t="e">
        <f>AP32/$E$34</f>
        <v>#REF!</v>
      </c>
      <c r="AY31" s="43"/>
    </row>
    <row r="32" spans="1:50" ht="15">
      <c r="A32" s="906" t="s">
        <v>63</v>
      </c>
      <c r="B32" s="907"/>
      <c r="C32" s="907"/>
      <c r="D32" s="908"/>
      <c r="E32" s="893">
        <f>E31</f>
        <v>126550.49999999999</v>
      </c>
      <c r="F32" s="894"/>
      <c r="G32" s="894"/>
      <c r="H32" s="894"/>
      <c r="I32" s="47"/>
      <c r="J32" s="893">
        <f>J31</f>
        <v>96689.7</v>
      </c>
      <c r="K32" s="894"/>
      <c r="L32" s="894"/>
      <c r="M32" s="894"/>
      <c r="N32" s="47"/>
      <c r="O32" s="893" t="e">
        <f>SUM(O31:V31)</f>
        <v>#REF!</v>
      </c>
      <c r="P32" s="894"/>
      <c r="Q32" s="894"/>
      <c r="R32" s="894"/>
      <c r="S32" s="894"/>
      <c r="T32" s="894"/>
      <c r="U32" s="894"/>
      <c r="V32" s="895"/>
      <c r="W32" s="47"/>
      <c r="X32" s="893" t="e">
        <f>SUM(X31:AE31)</f>
        <v>#REF!</v>
      </c>
      <c r="Y32" s="894"/>
      <c r="Z32" s="894"/>
      <c r="AA32" s="894"/>
      <c r="AB32" s="894"/>
      <c r="AC32" s="894"/>
      <c r="AD32" s="894"/>
      <c r="AE32" s="895"/>
      <c r="AF32" s="47"/>
      <c r="AG32" s="893" t="e">
        <f>SUM(AG31:AN31)</f>
        <v>#REF!</v>
      </c>
      <c r="AH32" s="894"/>
      <c r="AI32" s="894"/>
      <c r="AJ32" s="894"/>
      <c r="AK32" s="894"/>
      <c r="AL32" s="894"/>
      <c r="AM32" s="894"/>
      <c r="AN32" s="895"/>
      <c r="AO32" s="47"/>
      <c r="AP32" s="893" t="e">
        <f>SUM(AP31:AW31)</f>
        <v>#REF!</v>
      </c>
      <c r="AQ32" s="894"/>
      <c r="AR32" s="894"/>
      <c r="AS32" s="894"/>
      <c r="AT32" s="894"/>
      <c r="AU32" s="894"/>
      <c r="AV32" s="894"/>
      <c r="AW32" s="895"/>
      <c r="AX32" s="47"/>
    </row>
    <row r="33" spans="1:50" ht="15">
      <c r="A33" s="906" t="s">
        <v>64</v>
      </c>
      <c r="B33" s="907"/>
      <c r="C33" s="907"/>
      <c r="D33" s="908"/>
      <c r="E33" s="888">
        <f>E32</f>
        <v>126550.49999999999</v>
      </c>
      <c r="F33" s="889"/>
      <c r="G33" s="889"/>
      <c r="H33" s="889"/>
      <c r="I33" s="35">
        <f>I31</f>
        <v>0.5668804274498946</v>
      </c>
      <c r="J33" s="888">
        <f>J32+E33</f>
        <v>223240.19999999998</v>
      </c>
      <c r="K33" s="889"/>
      <c r="L33" s="889"/>
      <c r="M33" s="889"/>
      <c r="N33" s="35">
        <f>N31+I33</f>
        <v>0.9999999999999998</v>
      </c>
      <c r="O33" s="888" t="e">
        <f>O32+J33</f>
        <v>#REF!</v>
      </c>
      <c r="P33" s="889"/>
      <c r="Q33" s="889"/>
      <c r="R33" s="889"/>
      <c r="S33" s="889"/>
      <c r="T33" s="889"/>
      <c r="U33" s="889"/>
      <c r="V33" s="899"/>
      <c r="W33" s="35" t="e">
        <f>W31+N33</f>
        <v>#REF!</v>
      </c>
      <c r="X33" s="888" t="e">
        <f>X32+O33</f>
        <v>#REF!</v>
      </c>
      <c r="Y33" s="889"/>
      <c r="Z33" s="889"/>
      <c r="AA33" s="889"/>
      <c r="AB33" s="889"/>
      <c r="AC33" s="889"/>
      <c r="AD33" s="889"/>
      <c r="AE33" s="899"/>
      <c r="AF33" s="35" t="e">
        <f>AF31+W33</f>
        <v>#REF!</v>
      </c>
      <c r="AG33" s="888" t="e">
        <f>AG32+X33</f>
        <v>#REF!</v>
      </c>
      <c r="AH33" s="889"/>
      <c r="AI33" s="889"/>
      <c r="AJ33" s="889"/>
      <c r="AK33" s="889"/>
      <c r="AL33" s="889"/>
      <c r="AM33" s="889"/>
      <c r="AN33" s="899"/>
      <c r="AO33" s="35" t="e">
        <f>AO31+AF33</f>
        <v>#REF!</v>
      </c>
      <c r="AP33" s="888" t="e">
        <f>AP32+AG33</f>
        <v>#REF!</v>
      </c>
      <c r="AQ33" s="889"/>
      <c r="AR33" s="889"/>
      <c r="AS33" s="889"/>
      <c r="AT33" s="889"/>
      <c r="AU33" s="889"/>
      <c r="AV33" s="889"/>
      <c r="AW33" s="899"/>
      <c r="AX33" s="35" t="e">
        <f>AX31+AO33</f>
        <v>#REF!</v>
      </c>
    </row>
    <row r="34" spans="1:50" ht="15">
      <c r="A34" s="905" t="s">
        <v>65</v>
      </c>
      <c r="B34" s="905"/>
      <c r="C34" s="905"/>
      <c r="D34" s="905"/>
      <c r="E34" s="888">
        <f>$C$31</f>
        <v>223240.2</v>
      </c>
      <c r="F34" s="889"/>
      <c r="G34" s="889"/>
      <c r="H34" s="889"/>
      <c r="I34" s="36"/>
      <c r="J34" s="888">
        <f>$C$31</f>
        <v>223240.2</v>
      </c>
      <c r="K34" s="889"/>
      <c r="L34" s="889"/>
      <c r="M34" s="889"/>
      <c r="N34" s="36"/>
      <c r="O34" s="888">
        <f>$C$31</f>
        <v>223240.2</v>
      </c>
      <c r="P34" s="889"/>
      <c r="Q34" s="889"/>
      <c r="R34" s="889"/>
      <c r="S34" s="889"/>
      <c r="T34" s="889"/>
      <c r="U34" s="889"/>
      <c r="V34" s="889"/>
      <c r="W34" s="36"/>
      <c r="X34" s="888">
        <f>$C$31</f>
        <v>223240.2</v>
      </c>
      <c r="Y34" s="889"/>
      <c r="Z34" s="889"/>
      <c r="AA34" s="889"/>
      <c r="AB34" s="889"/>
      <c r="AC34" s="889"/>
      <c r="AD34" s="889"/>
      <c r="AE34" s="889"/>
      <c r="AF34" s="36"/>
      <c r="AG34" s="888">
        <f>$C$31</f>
        <v>223240.2</v>
      </c>
      <c r="AH34" s="889"/>
      <c r="AI34" s="889"/>
      <c r="AJ34" s="889"/>
      <c r="AK34" s="889"/>
      <c r="AL34" s="889"/>
      <c r="AM34" s="889"/>
      <c r="AN34" s="889"/>
      <c r="AO34" s="36"/>
      <c r="AP34" s="888">
        <f>$C$31</f>
        <v>223240.2</v>
      </c>
      <c r="AQ34" s="889"/>
      <c r="AR34" s="889"/>
      <c r="AS34" s="889"/>
      <c r="AT34" s="889"/>
      <c r="AU34" s="889"/>
      <c r="AV34" s="889"/>
      <c r="AW34" s="889"/>
      <c r="AX34" s="36"/>
    </row>
    <row r="35" spans="1:50" ht="15">
      <c r="A35" s="48"/>
      <c r="B35" s="48"/>
      <c r="C35" s="48"/>
      <c r="D35" s="48"/>
      <c r="E35" s="48"/>
      <c r="F35" s="48"/>
      <c r="G35" s="48"/>
      <c r="H35" s="48"/>
      <c r="I35" s="49"/>
      <c r="J35" s="48"/>
      <c r="K35" s="48"/>
      <c r="L35" s="48"/>
      <c r="M35" s="48"/>
      <c r="N35" s="49"/>
      <c r="O35" s="48"/>
      <c r="P35" s="48"/>
      <c r="Q35" s="48"/>
      <c r="R35" s="48"/>
      <c r="S35" s="48"/>
      <c r="T35" s="48"/>
      <c r="U35" s="48"/>
      <c r="V35" s="48"/>
      <c r="W35" s="49"/>
      <c r="X35" s="48"/>
      <c r="Y35" s="48"/>
      <c r="Z35" s="48"/>
      <c r="AA35" s="48"/>
      <c r="AB35" s="48"/>
      <c r="AC35" s="48"/>
      <c r="AD35" s="48"/>
      <c r="AE35" s="48"/>
      <c r="AF35" s="49"/>
      <c r="AG35" s="48"/>
      <c r="AH35" s="48"/>
      <c r="AI35" s="48"/>
      <c r="AJ35" s="48"/>
      <c r="AK35" s="48"/>
      <c r="AL35" s="48"/>
      <c r="AM35" s="48"/>
      <c r="AN35" s="48"/>
      <c r="AO35" s="49"/>
      <c r="AP35" s="48"/>
      <c r="AQ35" s="48"/>
      <c r="AR35" s="48"/>
      <c r="AS35" s="48"/>
      <c r="AT35" s="48"/>
      <c r="AU35" s="48"/>
      <c r="AV35" s="48"/>
      <c r="AW35" s="48"/>
      <c r="AX35" s="49"/>
    </row>
    <row r="36" spans="1:51" ht="15">
      <c r="A36" s="244" t="s">
        <v>363</v>
      </c>
      <c r="B36" s="137"/>
      <c r="C36" s="138"/>
      <c r="D36" s="137"/>
      <c r="E36" s="137"/>
      <c r="F36" s="137"/>
      <c r="G36" s="137"/>
      <c r="H36" s="137"/>
      <c r="I36" s="139"/>
      <c r="J36" s="162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9"/>
    </row>
    <row r="37" spans="1:51" ht="33.75" customHeight="1">
      <c r="A37" s="243" t="s">
        <v>3</v>
      </c>
      <c r="B37" s="242"/>
      <c r="C37" s="746" t="s">
        <v>364</v>
      </c>
      <c r="D37" s="748"/>
      <c r="E37" s="904"/>
      <c r="F37" s="904"/>
      <c r="G37" s="904"/>
      <c r="H37" s="904"/>
      <c r="I37" s="904"/>
      <c r="J37" s="903"/>
      <c r="K37" s="903"/>
      <c r="L37" s="903"/>
      <c r="M37" s="903"/>
      <c r="N37" s="80"/>
      <c r="O37" s="79"/>
      <c r="P37" s="79"/>
      <c r="Q37" s="79"/>
      <c r="R37" s="79"/>
      <c r="S37" s="79"/>
      <c r="T37" s="79"/>
      <c r="U37" s="79"/>
      <c r="V37" s="79"/>
      <c r="W37" s="80"/>
      <c r="X37" s="79"/>
      <c r="Y37" s="79"/>
      <c r="Z37" s="79"/>
      <c r="AA37" s="79"/>
      <c r="AB37" s="79"/>
      <c r="AC37" s="79"/>
      <c r="AD37" s="79"/>
      <c r="AE37" s="79"/>
      <c r="AF37" s="80"/>
      <c r="AG37" s="79"/>
      <c r="AH37" s="79"/>
      <c r="AI37" s="79"/>
      <c r="AJ37" s="79"/>
      <c r="AK37" s="79"/>
      <c r="AL37" s="79"/>
      <c r="AM37" s="79"/>
      <c r="AN37" s="79"/>
      <c r="AO37" s="80"/>
      <c r="AP37" s="79"/>
      <c r="AQ37" s="79"/>
      <c r="AR37" s="79"/>
      <c r="AS37" s="79"/>
      <c r="AT37" s="79"/>
      <c r="AU37" s="79"/>
      <c r="AV37" s="79"/>
      <c r="AW37" s="79"/>
      <c r="AX37" s="80"/>
      <c r="AY37" s="79"/>
    </row>
    <row r="38" spans="1:51" ht="26.25" customHeight="1">
      <c r="A38" s="846" t="s">
        <v>366</v>
      </c>
      <c r="B38" s="847"/>
      <c r="C38" s="143"/>
      <c r="D38" s="145"/>
      <c r="E38" s="156"/>
      <c r="F38" s="156"/>
      <c r="G38" s="156"/>
      <c r="H38" s="156"/>
      <c r="I38" s="80"/>
      <c r="J38" s="160"/>
      <c r="K38" s="160"/>
      <c r="L38" s="79"/>
      <c r="M38" s="79"/>
      <c r="N38" s="80"/>
      <c r="O38" s="79"/>
      <c r="P38" s="79"/>
      <c r="Q38" s="79"/>
      <c r="R38" s="79"/>
      <c r="S38" s="79"/>
      <c r="T38" s="79"/>
      <c r="U38" s="79"/>
      <c r="V38" s="79"/>
      <c r="W38" s="80"/>
      <c r="X38" s="79"/>
      <c r="Y38" s="79"/>
      <c r="Z38" s="79"/>
      <c r="AA38" s="79"/>
      <c r="AB38" s="79"/>
      <c r="AC38" s="79"/>
      <c r="AD38" s="79"/>
      <c r="AE38" s="79"/>
      <c r="AF38" s="80"/>
      <c r="AG38" s="79"/>
      <c r="AH38" s="79"/>
      <c r="AI38" s="79"/>
      <c r="AJ38" s="79"/>
      <c r="AK38" s="79"/>
      <c r="AL38" s="79"/>
      <c r="AM38" s="79"/>
      <c r="AN38" s="79"/>
      <c r="AO38" s="80"/>
      <c r="AP38" s="79"/>
      <c r="AQ38" s="79"/>
      <c r="AR38" s="79"/>
      <c r="AS38" s="79"/>
      <c r="AT38" s="79"/>
      <c r="AU38" s="79"/>
      <c r="AV38" s="79"/>
      <c r="AW38" s="79"/>
      <c r="AX38" s="80"/>
      <c r="AY38" s="79"/>
    </row>
    <row r="39" spans="1:51" ht="15">
      <c r="A39" s="153"/>
      <c r="B39" s="154"/>
      <c r="C39" s="155"/>
      <c r="D39" s="157"/>
      <c r="E39" s="156"/>
      <c r="F39" s="156"/>
      <c r="G39" s="156"/>
      <c r="H39" s="156"/>
      <c r="I39" s="80"/>
      <c r="J39" s="160"/>
      <c r="K39" s="160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9"/>
    </row>
    <row r="40" spans="1:51" ht="15">
      <c r="A40" s="848" t="s">
        <v>367</v>
      </c>
      <c r="B40" s="849"/>
      <c r="C40" s="148"/>
      <c r="D40" s="150"/>
      <c r="E40" s="156"/>
      <c r="F40" s="156"/>
      <c r="G40" s="156"/>
      <c r="H40" s="156"/>
      <c r="I40" s="80"/>
      <c r="J40" s="160"/>
      <c r="K40" s="160"/>
      <c r="L40" s="79"/>
      <c r="M40" s="79"/>
      <c r="N40" s="80"/>
      <c r="O40" s="79"/>
      <c r="P40" s="79"/>
      <c r="Q40" s="79"/>
      <c r="R40" s="79"/>
      <c r="S40" s="79"/>
      <c r="T40" s="79"/>
      <c r="U40" s="79"/>
      <c r="V40" s="79"/>
      <c r="W40" s="80"/>
      <c r="X40" s="79"/>
      <c r="Y40" s="79"/>
      <c r="Z40" s="79"/>
      <c r="AA40" s="79"/>
      <c r="AB40" s="79"/>
      <c r="AC40" s="79"/>
      <c r="AD40" s="79"/>
      <c r="AE40" s="79"/>
      <c r="AF40" s="80"/>
      <c r="AG40" s="79"/>
      <c r="AH40" s="79"/>
      <c r="AI40" s="79"/>
      <c r="AJ40" s="79"/>
      <c r="AK40" s="79"/>
      <c r="AL40" s="79"/>
      <c r="AM40" s="79"/>
      <c r="AN40" s="79"/>
      <c r="AO40" s="80"/>
      <c r="AP40" s="79"/>
      <c r="AQ40" s="79"/>
      <c r="AR40" s="79"/>
      <c r="AS40" s="79"/>
      <c r="AT40" s="79"/>
      <c r="AU40" s="79"/>
      <c r="AV40" s="79"/>
      <c r="AW40" s="79"/>
      <c r="AX40" s="80"/>
      <c r="AY40" s="79"/>
    </row>
    <row r="41" spans="1:10" ht="15">
      <c r="A41" s="5"/>
      <c r="B41" s="2"/>
      <c r="C41" s="2"/>
      <c r="D41" s="102"/>
      <c r="E41" s="2"/>
      <c r="F41" s="2"/>
      <c r="G41" s="2"/>
      <c r="H41" s="2"/>
      <c r="I41" s="2"/>
      <c r="J41" s="161"/>
    </row>
    <row r="42" spans="1:10" ht="15">
      <c r="A42" s="140" t="s">
        <v>365</v>
      </c>
      <c r="B42" s="141"/>
      <c r="C42" s="746" t="s">
        <v>364</v>
      </c>
      <c r="D42" s="748"/>
      <c r="E42" s="1"/>
      <c r="F42" s="1"/>
      <c r="G42" s="1"/>
      <c r="H42" s="1"/>
      <c r="I42" s="1"/>
      <c r="J42" s="163"/>
    </row>
    <row r="43" spans="1:4" ht="25.5" customHeight="1">
      <c r="A43" s="248"/>
      <c r="B43" s="247"/>
      <c r="C43" s="248"/>
      <c r="D43" s="247"/>
    </row>
    <row r="44" spans="1:4" ht="28.5" customHeight="1">
      <c r="A44" s="246"/>
      <c r="B44" s="245"/>
      <c r="C44" s="246"/>
      <c r="D44" s="245"/>
    </row>
  </sheetData>
  <sheetProtection/>
  <mergeCells count="177">
    <mergeCell ref="C42:D42"/>
    <mergeCell ref="A9:B9"/>
    <mergeCell ref="A5:D5"/>
    <mergeCell ref="C6:D6"/>
    <mergeCell ref="C7:D7"/>
    <mergeCell ref="C8:D8"/>
    <mergeCell ref="C9:D9"/>
    <mergeCell ref="C10:D10"/>
    <mergeCell ref="C11:D11"/>
    <mergeCell ref="A6:B6"/>
    <mergeCell ref="C27:C28"/>
    <mergeCell ref="A38:B38"/>
    <mergeCell ref="A40:B40"/>
    <mergeCell ref="A7:B7"/>
    <mergeCell ref="A8:B8"/>
    <mergeCell ref="A31:B31"/>
    <mergeCell ref="A32:D32"/>
    <mergeCell ref="B23:B24"/>
    <mergeCell ref="A23:A24"/>
    <mergeCell ref="A27:A28"/>
    <mergeCell ref="J37:M37"/>
    <mergeCell ref="C37:D37"/>
    <mergeCell ref="E37:I37"/>
    <mergeCell ref="A34:D34"/>
    <mergeCell ref="E34:H34"/>
    <mergeCell ref="A33:D33"/>
    <mergeCell ref="E33:H33"/>
    <mergeCell ref="B27:B28"/>
    <mergeCell ref="AB21:AE21"/>
    <mergeCell ref="E32:H32"/>
    <mergeCell ref="E31:H31"/>
    <mergeCell ref="J34:M34"/>
    <mergeCell ref="A10:B10"/>
    <mergeCell ref="A11:B11"/>
    <mergeCell ref="D27:D28"/>
    <mergeCell ref="E27:H27"/>
    <mergeCell ref="B21:B22"/>
    <mergeCell ref="C21:C22"/>
    <mergeCell ref="O31:R31"/>
    <mergeCell ref="C23:C24"/>
    <mergeCell ref="D23:D24"/>
    <mergeCell ref="X23:AA23"/>
    <mergeCell ref="AB23:AE23"/>
    <mergeCell ref="D21:D22"/>
    <mergeCell ref="E21:H21"/>
    <mergeCell ref="J23:M23"/>
    <mergeCell ref="O23:R23"/>
    <mergeCell ref="S23:V23"/>
    <mergeCell ref="X32:AE32"/>
    <mergeCell ref="AP33:AW33"/>
    <mergeCell ref="AG33:AN33"/>
    <mergeCell ref="J33:M33"/>
    <mergeCell ref="X33:AE33"/>
    <mergeCell ref="O33:V33"/>
    <mergeCell ref="J32:M32"/>
    <mergeCell ref="AP32:AW32"/>
    <mergeCell ref="S31:V31"/>
    <mergeCell ref="O32:V32"/>
    <mergeCell ref="AP31:AS31"/>
    <mergeCell ref="AT31:AW31"/>
    <mergeCell ref="J31:M31"/>
    <mergeCell ref="AG31:AJ31"/>
    <mergeCell ref="AK31:AN31"/>
    <mergeCell ref="AG32:AN32"/>
    <mergeCell ref="X31:AA31"/>
    <mergeCell ref="AB31:AE31"/>
    <mergeCell ref="A29:A30"/>
    <mergeCell ref="B29:B30"/>
    <mergeCell ref="C29:C30"/>
    <mergeCell ref="D29:D30"/>
    <mergeCell ref="E29:H29"/>
    <mergeCell ref="AP29:AS29"/>
    <mergeCell ref="AT29:AW29"/>
    <mergeCell ref="AG29:AJ29"/>
    <mergeCell ref="AK29:AN29"/>
    <mergeCell ref="X29:AA29"/>
    <mergeCell ref="AB29:AE29"/>
    <mergeCell ref="J29:M29"/>
    <mergeCell ref="O29:R29"/>
    <mergeCell ref="S29:V29"/>
    <mergeCell ref="AG27:AJ27"/>
    <mergeCell ref="AK27:AN27"/>
    <mergeCell ref="X27:AA27"/>
    <mergeCell ref="AB27:AE27"/>
    <mergeCell ref="AG25:AJ25"/>
    <mergeCell ref="AK25:AN25"/>
    <mergeCell ref="X25:AA25"/>
    <mergeCell ref="AB25:AE25"/>
    <mergeCell ref="J25:M25"/>
    <mergeCell ref="J27:M27"/>
    <mergeCell ref="O25:R25"/>
    <mergeCell ref="S25:V25"/>
    <mergeCell ref="O27:R27"/>
    <mergeCell ref="S27:V27"/>
    <mergeCell ref="AG17:AJ17"/>
    <mergeCell ref="AK17:AN17"/>
    <mergeCell ref="AG19:AJ19"/>
    <mergeCell ref="AK19:AN19"/>
    <mergeCell ref="AG21:AJ21"/>
    <mergeCell ref="AK21:AN21"/>
    <mergeCell ref="O19:R19"/>
    <mergeCell ref="S19:V19"/>
    <mergeCell ref="O21:R21"/>
    <mergeCell ref="S21:V21"/>
    <mergeCell ref="J17:M17"/>
    <mergeCell ref="J19:M19"/>
    <mergeCell ref="J21:M21"/>
    <mergeCell ref="E16:H16"/>
    <mergeCell ref="AP16:AS16"/>
    <mergeCell ref="AB16:AE16"/>
    <mergeCell ref="J16:M16"/>
    <mergeCell ref="AG23:AJ23"/>
    <mergeCell ref="AK23:AN23"/>
    <mergeCell ref="X17:AA17"/>
    <mergeCell ref="AB17:AE17"/>
    <mergeCell ref="O17:R17"/>
    <mergeCell ref="AP23:AS23"/>
    <mergeCell ref="AT16:AW16"/>
    <mergeCell ref="J14:M14"/>
    <mergeCell ref="J15:M15"/>
    <mergeCell ref="AG14:AN14"/>
    <mergeCell ref="AG15:AN15"/>
    <mergeCell ref="AG16:AJ16"/>
    <mergeCell ref="AK16:AN16"/>
    <mergeCell ref="X14:AE14"/>
    <mergeCell ref="X15:AE15"/>
    <mergeCell ref="X16:AA16"/>
    <mergeCell ref="O15:V15"/>
    <mergeCell ref="O16:R16"/>
    <mergeCell ref="O34:V34"/>
    <mergeCell ref="X34:AE34"/>
    <mergeCell ref="AG34:AN34"/>
    <mergeCell ref="S16:V16"/>
    <mergeCell ref="X19:AA19"/>
    <mergeCell ref="AB19:AE19"/>
    <mergeCell ref="X21:AA21"/>
    <mergeCell ref="S17:V17"/>
    <mergeCell ref="AP34:AW34"/>
    <mergeCell ref="A19:A20"/>
    <mergeCell ref="B19:B20"/>
    <mergeCell ref="C19:C20"/>
    <mergeCell ref="D19:D20"/>
    <mergeCell ref="E19:H19"/>
    <mergeCell ref="AP19:AS19"/>
    <mergeCell ref="AT19:AW19"/>
    <mergeCell ref="A21:A22"/>
    <mergeCell ref="E23:H23"/>
    <mergeCell ref="D14:D16"/>
    <mergeCell ref="E14:H14"/>
    <mergeCell ref="AT23:AW23"/>
    <mergeCell ref="AP21:AS21"/>
    <mergeCell ref="AT21:AW21"/>
    <mergeCell ref="AP27:AS27"/>
    <mergeCell ref="AT27:AW27"/>
    <mergeCell ref="AP25:AS25"/>
    <mergeCell ref="AT25:AW25"/>
    <mergeCell ref="O14:V14"/>
    <mergeCell ref="A25:A26"/>
    <mergeCell ref="AP14:AW14"/>
    <mergeCell ref="E15:H15"/>
    <mergeCell ref="AP15:AW15"/>
    <mergeCell ref="B25:B26"/>
    <mergeCell ref="C25:C26"/>
    <mergeCell ref="D25:D26"/>
    <mergeCell ref="E25:H25"/>
    <mergeCell ref="B14:B16"/>
    <mergeCell ref="C14:C16"/>
    <mergeCell ref="A13:D13"/>
    <mergeCell ref="E13:AX13"/>
    <mergeCell ref="A17:A18"/>
    <mergeCell ref="B17:B18"/>
    <mergeCell ref="C17:C18"/>
    <mergeCell ref="D17:D18"/>
    <mergeCell ref="E17:H17"/>
    <mergeCell ref="AP17:AS17"/>
    <mergeCell ref="AT17:AW17"/>
    <mergeCell ref="A14:A16"/>
  </mergeCells>
  <printOptions horizontalCentered="1"/>
  <pageMargins left="0.25" right="0.25" top="0.75" bottom="0.75" header="0.3" footer="0.3"/>
  <pageSetup fitToWidth="0" horizontalDpi="600" verticalDpi="600" orientation="portrait" paperSize="9" scale="60" r:id="rId2"/>
  <headerFooter>
    <oddHeader>&amp;L&amp;G</oddHeader>
    <oddFooter>&amp;L&amp;"-,Regular"&amp;A&amp;R&amp;"-,Regular"Página &amp;P de &amp;N</oddFooter>
  </headerFooter>
  <colBreaks count="1" manualBreakCount="1">
    <brk id="23" max="72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13"/>
  <sheetViews>
    <sheetView view="pageBreakPreview" zoomScaleSheetLayoutView="100" zoomScalePageLayoutView="0" workbookViewId="0" topLeftCell="A19">
      <selection activeCell="E13" sqref="E13"/>
    </sheetView>
  </sheetViews>
  <sheetFormatPr defaultColWidth="9.33203125" defaultRowHeight="12.75"/>
  <cols>
    <col min="1" max="1" width="4.83203125" style="50" customWidth="1"/>
    <col min="2" max="2" width="36.16015625" style="50" customWidth="1"/>
    <col min="3" max="3" width="56.33203125" style="50" customWidth="1"/>
    <col min="4" max="218" width="9.33203125" style="50" customWidth="1"/>
    <col min="219" max="219" width="4.83203125" style="50" customWidth="1"/>
    <col min="220" max="220" width="101.16015625" style="50" customWidth="1"/>
    <col min="221" max="16384" width="9.33203125" style="50" customWidth="1"/>
  </cols>
  <sheetData>
    <row r="1" spans="2:3" ht="15">
      <c r="B1" s="1"/>
      <c r="C1" s="1"/>
    </row>
    <row r="2" spans="2:3" ht="15">
      <c r="B2" s="1"/>
      <c r="C2" s="1"/>
    </row>
    <row r="3" spans="2:3" ht="15">
      <c r="B3" s="1"/>
      <c r="C3" s="1"/>
    </row>
    <row r="4" spans="2:3" ht="15">
      <c r="B4" s="1"/>
      <c r="C4" s="1"/>
    </row>
    <row r="5" spans="1:3" ht="15">
      <c r="A5" s="914" t="s">
        <v>273</v>
      </c>
      <c r="B5" s="914"/>
      <c r="C5" s="915"/>
    </row>
    <row r="6" spans="1:3" ht="15">
      <c r="A6" s="105" t="s">
        <v>274</v>
      </c>
      <c r="B6" s="196"/>
      <c r="C6" s="194" t="s">
        <v>275</v>
      </c>
    </row>
    <row r="7" spans="1:3" ht="15">
      <c r="A7" s="109" t="s">
        <v>276</v>
      </c>
      <c r="B7" s="197"/>
      <c r="C7" s="195" t="s">
        <v>277</v>
      </c>
    </row>
    <row r="8" spans="1:3" ht="15">
      <c r="A8" s="109" t="s">
        <v>278</v>
      </c>
      <c r="B8" s="197"/>
      <c r="C8" s="195" t="s">
        <v>279</v>
      </c>
    </row>
    <row r="9" spans="1:3" ht="15">
      <c r="A9" s="109" t="s">
        <v>54</v>
      </c>
      <c r="B9" s="197"/>
      <c r="C9" s="528">
        <v>43245</v>
      </c>
    </row>
    <row r="10" spans="1:3" ht="15">
      <c r="A10" s="109" t="s">
        <v>280</v>
      </c>
      <c r="B10" s="197"/>
      <c r="C10" s="195" t="s">
        <v>1832</v>
      </c>
    </row>
    <row r="11" spans="1:3" ht="15">
      <c r="A11" s="109" t="s">
        <v>281</v>
      </c>
      <c r="B11" s="197"/>
      <c r="C11" s="195" t="s">
        <v>1134</v>
      </c>
    </row>
    <row r="12" ht="3.75" customHeight="1"/>
    <row r="13" spans="1:3" ht="15">
      <c r="A13" s="918" t="s">
        <v>15</v>
      </c>
      <c r="B13" s="919"/>
      <c r="C13" s="920"/>
    </row>
    <row r="14" ht="4.5" customHeight="1">
      <c r="B14" s="51"/>
    </row>
    <row r="15" spans="1:3" ht="15">
      <c r="A15" s="916" t="s">
        <v>16</v>
      </c>
      <c r="B15" s="916"/>
      <c r="C15" s="916"/>
    </row>
    <row r="16" ht="6" customHeight="1">
      <c r="B16" s="55"/>
    </row>
    <row r="17" spans="1:3" ht="15">
      <c r="A17" s="917">
        <f>'Cronograma Físico Financeiro'!I31</f>
        <v>0.5668804274498946</v>
      </c>
      <c r="B17" s="917"/>
      <c r="C17" s="917"/>
    </row>
    <row r="18" spans="2:3" ht="7.5" customHeight="1">
      <c r="B18" s="56"/>
      <c r="C18" s="56"/>
    </row>
    <row r="19" spans="1:3" ht="15">
      <c r="A19" s="917" t="s">
        <v>17</v>
      </c>
      <c r="B19" s="917"/>
      <c r="C19" s="917"/>
    </row>
    <row r="20" spans="2:3" ht="7.5" customHeight="1">
      <c r="B20" s="56"/>
      <c r="C20" s="56"/>
    </row>
    <row r="21" spans="1:3" ht="15">
      <c r="A21" s="917" t="s">
        <v>18</v>
      </c>
      <c r="B21" s="917"/>
      <c r="C21" s="917"/>
    </row>
    <row r="22" spans="2:3" ht="7.5" customHeight="1">
      <c r="B22" s="56"/>
      <c r="C22" s="56"/>
    </row>
    <row r="23" spans="1:3" ht="7.5" customHeight="1">
      <c r="A23" s="910">
        <v>1</v>
      </c>
      <c r="B23" s="917" t="str">
        <f>IF('Cronograma Físico Financeiro'!I17=0,"",CONCATENATE("Executado ",'Cronograma Físico Financeiro'!I17*100,"% de ",'Cronograma Físico Financeiro'!B17))</f>
        <v>Executado 100% de SERVIÇOS PRELIMINARES</v>
      </c>
      <c r="C23" s="917"/>
    </row>
    <row r="24" spans="1:3" ht="7.5" customHeight="1">
      <c r="A24" s="910"/>
      <c r="B24" s="917"/>
      <c r="C24" s="917"/>
    </row>
    <row r="25" spans="1:3" ht="7.5" customHeight="1">
      <c r="A25" s="910">
        <v>2</v>
      </c>
      <c r="B25" s="917" t="str">
        <f>IF('Cronograma Físico Financeiro'!I19=0,"",CONCATENATE("Executado ",'Cronograma Físico Financeiro'!I19*100,"% de ",'Cronograma Físico Financeiro'!B19))</f>
        <v>Executado 40% de ARQUITETURA E ELEMENTOS DE URBANISMO</v>
      </c>
      <c r="C25" s="917"/>
    </row>
    <row r="26" spans="1:3" ht="7.5" customHeight="1">
      <c r="A26" s="910"/>
      <c r="B26" s="917"/>
      <c r="C26" s="917"/>
    </row>
    <row r="27" spans="1:3" ht="7.5" customHeight="1">
      <c r="A27" s="910">
        <v>3</v>
      </c>
      <c r="B27" s="911" t="str">
        <f>IF('Cronograma Físico Financeiro'!I21=0,"",CONCATENATE("Executado ",'Cronograma Físico Financeiro'!I21*100,"% de ",'Cronograma Físico Financeiro'!B21))</f>
        <v>Executado 100% de INSTALAÇÕES HIDRAÚLICAS E SANITÁRIAS</v>
      </c>
      <c r="C27" s="911"/>
    </row>
    <row r="28" spans="1:3" ht="7.5" customHeight="1">
      <c r="A28" s="910"/>
      <c r="B28" s="911"/>
      <c r="C28" s="911"/>
    </row>
    <row r="29" spans="1:3" ht="7.5" customHeight="1">
      <c r="A29" s="910">
        <v>4</v>
      </c>
      <c r="B29" s="911" t="str">
        <f>IF('Cronograma Físico Financeiro'!I23=0,"",CONCATENATE("Executado ",'Cronograma Físico Financeiro'!I23*100,"% de ",'Cronograma Físico Financeiro'!B23))</f>
        <v>Executado 75% de INSTALAÇÕES ELÉTRICAS E ELETRÔNICAS</v>
      </c>
      <c r="C29" s="911"/>
    </row>
    <row r="30" spans="1:3" ht="7.5" customHeight="1">
      <c r="A30" s="910"/>
      <c r="B30" s="911"/>
      <c r="C30" s="911"/>
    </row>
    <row r="31" spans="1:3" ht="7.5" customHeight="1">
      <c r="A31" s="910">
        <v>5</v>
      </c>
      <c r="B31" s="911" t="str">
        <f>IF('Cronograma Físico Financeiro'!I25=0,"",CONCATENATE("Executado ",('Cronograma Físico Financeiro'!$I$25)*100,"% de ",'Cronograma Físico Financeiro'!$B$25))</f>
        <v>Executado 40% de INSTALAÇÕES MECÂNICAS E DE UTILIDADES</v>
      </c>
      <c r="C31" s="911"/>
    </row>
    <row r="32" spans="1:3" ht="7.5" customHeight="1">
      <c r="A32" s="910"/>
      <c r="B32" s="911"/>
      <c r="C32" s="911"/>
    </row>
    <row r="33" spans="1:3" ht="7.5" customHeight="1">
      <c r="A33" s="910">
        <v>6</v>
      </c>
      <c r="B33" s="911" t="str">
        <f>IF('Cronograma Físico Financeiro'!I27=0,"",CONCATENATE("Executado ",'Cronograma Físico Financeiro'!I27*100,"% de ",'Cronograma Físico Financeiro'!B27))</f>
        <v>Executado 40% de SERVIÇOS COMPLEMENTARES</v>
      </c>
      <c r="C33" s="911"/>
    </row>
    <row r="34" spans="1:3" ht="6.75" customHeight="1">
      <c r="A34" s="910"/>
      <c r="B34" s="911"/>
      <c r="C34" s="911"/>
    </row>
    <row r="35" ht="15">
      <c r="B35" s="55"/>
    </row>
    <row r="36" spans="1:3" ht="15">
      <c r="A36" s="916" t="s">
        <v>60</v>
      </c>
      <c r="B36" s="916"/>
      <c r="C36" s="916"/>
    </row>
    <row r="37" spans="1:3" ht="5.25" customHeight="1">
      <c r="A37" s="57"/>
      <c r="B37" s="57"/>
      <c r="C37" s="57"/>
    </row>
    <row r="38" spans="1:3" ht="15">
      <c r="A38" s="917">
        <f>'Cronograma Físico Financeiro'!N33</f>
        <v>0.9999999999999998</v>
      </c>
      <c r="B38" s="917"/>
      <c r="C38" s="917"/>
    </row>
    <row r="39" spans="1:3" ht="7.5" customHeight="1">
      <c r="A39" s="56"/>
      <c r="B39" s="56"/>
      <c r="C39" s="56"/>
    </row>
    <row r="40" spans="1:3" ht="15">
      <c r="A40" s="913" t="s">
        <v>61</v>
      </c>
      <c r="B40" s="913"/>
      <c r="C40" s="913"/>
    </row>
    <row r="41" spans="1:3" ht="7.5" customHeight="1">
      <c r="A41" s="58"/>
      <c r="B41" s="58"/>
      <c r="C41" s="58"/>
    </row>
    <row r="42" spans="1:3" ht="15">
      <c r="A42" s="913" t="s">
        <v>18</v>
      </c>
      <c r="B42" s="913"/>
      <c r="C42" s="913"/>
    </row>
    <row r="43" spans="1:3" ht="7.5" customHeight="1">
      <c r="A43" s="58"/>
      <c r="B43" s="58"/>
      <c r="C43" s="58"/>
    </row>
    <row r="44" spans="1:3" ht="7.5" customHeight="1" hidden="1">
      <c r="A44" s="910">
        <v>1</v>
      </c>
      <c r="B44" s="917">
        <f>IF('Cronograma Físico Financeiro'!N17=0,"",CONCATENATE("Executado ",('Cronograma Físico Financeiro'!I17+'Cronograma Físico Financeiro'!N17)*100,"% de ",'Cronograma Físico Financeiro'!B17))</f>
      </c>
      <c r="C44" s="917"/>
    </row>
    <row r="45" spans="1:3" ht="7.5" customHeight="1" hidden="1">
      <c r="A45" s="910"/>
      <c r="B45" s="917"/>
      <c r="C45" s="917"/>
    </row>
    <row r="46" spans="1:3" ht="7.5" customHeight="1">
      <c r="A46" s="910">
        <v>2</v>
      </c>
      <c r="B46" s="917" t="str">
        <f>IF('Cronograma Físico Financeiro'!N19=0,"",CONCATENATE("Executado ",('Cronograma Físico Financeiro'!I19+'Cronograma Físico Financeiro'!N19)*100,"% de ",'Cronograma Físico Financeiro'!B19))</f>
        <v>Executado 100% de ARQUITETURA E ELEMENTOS DE URBANISMO</v>
      </c>
      <c r="C46" s="917"/>
    </row>
    <row r="47" spans="1:3" ht="7.5" customHeight="1">
      <c r="A47" s="910"/>
      <c r="B47" s="917"/>
      <c r="C47" s="917"/>
    </row>
    <row r="48" spans="1:3" ht="7.5" customHeight="1" hidden="1">
      <c r="A48" s="910">
        <v>3</v>
      </c>
      <c r="B48" s="917">
        <f>IF('Cronograma Físico Financeiro'!N21=0,"",CONCATENATE("Executado ",('Cronograma Físico Financeiro'!I21+'Cronograma Físico Financeiro'!N21)*100,"% de ",'Cronograma Físico Financeiro'!B21))</f>
      </c>
      <c r="C48" s="917"/>
    </row>
    <row r="49" spans="1:3" ht="7.5" customHeight="1" hidden="1">
      <c r="A49" s="910"/>
      <c r="B49" s="917"/>
      <c r="C49" s="917"/>
    </row>
    <row r="50" spans="1:3" ht="7.5" customHeight="1">
      <c r="A50" s="910">
        <v>4</v>
      </c>
      <c r="B50" s="917" t="str">
        <f>IF('Cronograma Físico Financeiro'!N23=0,"",CONCATENATE("Executado ",('Cronograma Físico Financeiro'!I23+'Cronograma Físico Financeiro'!N23)*100,"% de ",'Cronograma Físico Financeiro'!B23))</f>
        <v>Executado 100% de INSTALAÇÕES ELÉTRICAS E ELETRÔNICAS</v>
      </c>
      <c r="C50" s="917"/>
    </row>
    <row r="51" spans="1:3" ht="7.5" customHeight="1">
      <c r="A51" s="910"/>
      <c r="B51" s="917"/>
      <c r="C51" s="917"/>
    </row>
    <row r="52" spans="1:3" ht="7.5" customHeight="1">
      <c r="A52" s="910">
        <v>5</v>
      </c>
      <c r="B52" s="917" t="str">
        <f>IF('Cronograma Físico Financeiro'!N25=0,"",CONCATENATE("Executado ",('Cronograma Físico Financeiro'!I25+'Cronograma Físico Financeiro'!N25)*100,"% de ",'Cronograma Físico Financeiro'!B25))</f>
        <v>Executado 100% de INSTALAÇÕES MECÂNICAS E DE UTILIDADES</v>
      </c>
      <c r="C52" s="917"/>
    </row>
    <row r="53" spans="1:3" ht="7.5" customHeight="1">
      <c r="A53" s="910"/>
      <c r="B53" s="917"/>
      <c r="C53" s="917"/>
    </row>
    <row r="54" spans="1:3" ht="7.5" customHeight="1">
      <c r="A54" s="910">
        <v>6</v>
      </c>
      <c r="B54" s="917" t="str">
        <f>IF('Cronograma Físico Financeiro'!N27=0,"",CONCATENATE("Executado ",('Cronograma Físico Financeiro'!I27+'Cronograma Físico Financeiro'!N27)*100,"% de ",'Cronograma Físico Financeiro'!B27))</f>
        <v>Executado 100% de SERVIÇOS COMPLEMENTARES</v>
      </c>
      <c r="C54" s="917"/>
    </row>
    <row r="55" spans="1:3" ht="7.5" customHeight="1">
      <c r="A55" s="910"/>
      <c r="B55" s="917"/>
      <c r="C55" s="917"/>
    </row>
    <row r="56" spans="1:3" ht="7.5" customHeight="1">
      <c r="A56" s="910">
        <v>7</v>
      </c>
      <c r="B56" s="917" t="str">
        <f>IF('Cronograma Físico Financeiro'!N29=0,"",CONCATENATE("Executado ",('Cronograma Físico Financeiro'!I29+'Cronograma Físico Financeiro'!N29)*100,"% de ",'Cronograma Físico Financeiro'!B29))</f>
        <v>Executado 100% de SERVIÇOS AUXILIARES E ADMINISTRATIVOS</v>
      </c>
      <c r="C56" s="917"/>
    </row>
    <row r="57" spans="1:3" ht="7.5" customHeight="1">
      <c r="A57" s="910"/>
      <c r="B57" s="917"/>
      <c r="C57" s="917"/>
    </row>
    <row r="58" spans="1:3" ht="7.5" customHeight="1">
      <c r="A58" s="910"/>
      <c r="B58" s="917"/>
      <c r="C58" s="917"/>
    </row>
    <row r="59" spans="1:3" ht="7.5" customHeight="1">
      <c r="A59" s="910"/>
      <c r="B59" s="917"/>
      <c r="C59" s="917"/>
    </row>
    <row r="61" spans="1:3" ht="15" hidden="1">
      <c r="A61" s="916" t="s">
        <v>99</v>
      </c>
      <c r="B61" s="916"/>
      <c r="C61" s="916"/>
    </row>
    <row r="62" spans="1:3" ht="15" hidden="1">
      <c r="A62" s="57"/>
      <c r="B62" s="57"/>
      <c r="C62" s="57"/>
    </row>
    <row r="63" spans="1:3" ht="15" hidden="1">
      <c r="A63" s="917" t="e">
        <f>'Cronograma Físico Financeiro'!W33</f>
        <v>#REF!</v>
      </c>
      <c r="B63" s="917"/>
      <c r="C63" s="917"/>
    </row>
    <row r="64" spans="1:3" ht="7.5" customHeight="1" hidden="1">
      <c r="A64" s="76"/>
      <c r="B64" s="76"/>
      <c r="C64" s="76"/>
    </row>
    <row r="65" spans="1:3" ht="15" hidden="1">
      <c r="A65" s="912" t="s">
        <v>100</v>
      </c>
      <c r="B65" s="913"/>
      <c r="C65" s="913"/>
    </row>
    <row r="66" spans="1:3" ht="7.5" customHeight="1" hidden="1">
      <c r="A66" s="77"/>
      <c r="B66" s="77"/>
      <c r="C66" s="77"/>
    </row>
    <row r="67" spans="1:3" ht="15" hidden="1">
      <c r="A67" s="913" t="s">
        <v>18</v>
      </c>
      <c r="B67" s="913"/>
      <c r="C67" s="913"/>
    </row>
    <row r="68" spans="1:3" ht="7.5" customHeight="1" hidden="1">
      <c r="A68" s="77"/>
      <c r="B68" s="77"/>
      <c r="C68" s="77"/>
    </row>
    <row r="69" spans="1:3" ht="7.5" customHeight="1" hidden="1">
      <c r="A69" s="910">
        <v>1</v>
      </c>
      <c r="B69" s="911">
        <f>IF('Cronograma Físico Financeiro'!$AX$17=0,"",CONCATENATE("Executado ",('Cronograma Físico Financeiro'!$I$17+'Cronograma Físico Financeiro'!$N$17+'Cronograma Físico Financeiro'!$W$17)*100,"% de ",'Cronograma Físico Financeiro'!$B$17))</f>
      </c>
      <c r="C69" s="911"/>
    </row>
    <row r="70" spans="1:3" ht="7.5" customHeight="1" hidden="1">
      <c r="A70" s="910"/>
      <c r="B70" s="911"/>
      <c r="C70" s="911"/>
    </row>
    <row r="71" spans="1:3" ht="7.5" customHeight="1" hidden="1">
      <c r="A71" s="910">
        <v>2</v>
      </c>
      <c r="B71" s="911">
        <f>IF('Cronograma Físico Financeiro'!$AX$19=0,"",CONCATENATE("Executado ",('Cronograma Físico Financeiro'!$I$19+'Cronograma Físico Financeiro'!$N$19+'Cronograma Físico Financeiro'!$W$19)*100,"% de ",'Cronograma Físico Financeiro'!$B$19))</f>
      </c>
      <c r="C71" s="911"/>
    </row>
    <row r="72" spans="1:3" ht="7.5" customHeight="1" hidden="1">
      <c r="A72" s="910"/>
      <c r="B72" s="911"/>
      <c r="C72" s="911"/>
    </row>
    <row r="73" spans="1:3" ht="7.5" customHeight="1" hidden="1">
      <c r="A73" s="910">
        <v>3</v>
      </c>
      <c r="B73" s="911">
        <f>IF('Cronograma Físico Financeiro'!$AX$19=0,"",CONCATENATE("Executado ",('Cronograma Físico Financeiro'!$I$21+'Cronograma Físico Financeiro'!$N$21+'Cronograma Físico Financeiro'!$W$80)*100,"% de ",'Cronograma Físico Financeiro'!$B$21))</f>
      </c>
      <c r="C73" s="911"/>
    </row>
    <row r="74" spans="1:3" ht="7.5" customHeight="1" hidden="1">
      <c r="A74" s="910"/>
      <c r="B74" s="911"/>
      <c r="C74" s="911"/>
    </row>
    <row r="75" spans="1:3" ht="7.5" customHeight="1" hidden="1">
      <c r="A75" s="910">
        <v>4</v>
      </c>
      <c r="B75" s="911">
        <f>IF('Cronograma Físico Financeiro'!$AX$19=0,"",CONCATENATE("Executado ",('Cronograma Físico Financeiro'!$I$23+'Cronograma Físico Financeiro'!$N$23+'Cronograma Físico Financeiro'!$W$23)*100,"% de ",'Cronograma Físico Financeiro'!$B$23))</f>
      </c>
      <c r="C75" s="911"/>
    </row>
    <row r="76" spans="1:3" ht="7.5" customHeight="1" hidden="1">
      <c r="A76" s="910"/>
      <c r="B76" s="911"/>
      <c r="C76" s="911"/>
    </row>
    <row r="77" spans="1:3" ht="7.5" customHeight="1" hidden="1">
      <c r="A77" s="910">
        <v>5</v>
      </c>
      <c r="B77" s="911">
        <f>IF('Cronograma Físico Financeiro'!$AX$17=0,"",CONCATENATE("Executado ",('Cronograma Físico Financeiro'!$I$25+'Cronograma Físico Financeiro'!$N$25+'Cronograma Físico Financeiro'!$W$25)*100,"% de ",'Cronograma Físico Financeiro'!$B$25))</f>
      </c>
      <c r="C77" s="911"/>
    </row>
    <row r="78" spans="1:3" ht="7.5" customHeight="1" hidden="1">
      <c r="A78" s="910"/>
      <c r="B78" s="911"/>
      <c r="C78" s="911"/>
    </row>
    <row r="79" spans="1:3" ht="7.5" customHeight="1" hidden="1">
      <c r="A79" s="910">
        <v>6</v>
      </c>
      <c r="B79" s="911">
        <f>IF('Cronograma Físico Financeiro'!$AX$19=0,"",CONCATENATE("Executado ",('Cronograma Físico Financeiro'!$I$27+'Cronograma Físico Financeiro'!$N$27+'Cronograma Físico Financeiro'!$W$27)*100,"% de ",'Cronograma Físico Financeiro'!$B$27))</f>
      </c>
      <c r="C79" s="911"/>
    </row>
    <row r="80" spans="1:3" ht="7.5" customHeight="1" hidden="1">
      <c r="A80" s="910"/>
      <c r="B80" s="911"/>
      <c r="C80" s="911"/>
    </row>
    <row r="81" spans="1:3" ht="7.5" customHeight="1" hidden="1">
      <c r="A81" s="910">
        <v>7</v>
      </c>
      <c r="B81" s="911">
        <f>IF('Cronograma Físico Financeiro'!$AX$19=0,"",CONCATENATE("Executado ",('Cronograma Físico Financeiro'!$I$29+'Cronograma Físico Financeiro'!$N$29)+'Cronograma Físico Financeiro'!$W$29*100,"% de ",'Cronograma Físico Financeiro'!$B$29))</f>
      </c>
      <c r="C81" s="911"/>
    </row>
    <row r="82" spans="1:3" ht="7.5" customHeight="1" hidden="1">
      <c r="A82" s="910"/>
      <c r="B82" s="911"/>
      <c r="C82" s="911"/>
    </row>
    <row r="83" spans="1:3" ht="7.5" customHeight="1" hidden="1">
      <c r="A83" s="910">
        <v>8</v>
      </c>
      <c r="B83" s="911">
        <f>IF('Cronograma Físico Financeiro'!$AX$19=0,"",CONCATENATE("Executado ",('Cronograma Físico Financeiro'!#REF!+'Cronograma Físico Financeiro'!#REF!+'Cronograma Físico Financeiro'!#REF!)*100,"% de ",'Cronograma Físico Financeiro'!#REF!))</f>
      </c>
      <c r="C83" s="911"/>
    </row>
    <row r="84" spans="1:3" ht="7.5" customHeight="1" hidden="1">
      <c r="A84" s="910"/>
      <c r="B84" s="911"/>
      <c r="C84" s="911"/>
    </row>
    <row r="85" spans="1:3" ht="7.5" customHeight="1" hidden="1">
      <c r="A85" s="910">
        <v>9</v>
      </c>
      <c r="B85" s="911">
        <f>IF('Cronograma Físico Financeiro'!$AX$19=0,"",CONCATENATE("Executado ",('Cronograma Físico Financeiro'!#REF!+'Cronograma Físico Financeiro'!#REF!+'Cronograma Físico Financeiro'!#REF!)*100,"% de ",'Cronograma Físico Financeiro'!#REF!))</f>
      </c>
      <c r="C85" s="911"/>
    </row>
    <row r="86" spans="1:3" ht="7.5" customHeight="1" hidden="1">
      <c r="A86" s="910"/>
      <c r="B86" s="911"/>
      <c r="C86" s="911"/>
    </row>
    <row r="87" spans="1:3" ht="7.5" customHeight="1" hidden="1">
      <c r="A87" s="910">
        <v>10</v>
      </c>
      <c r="B87" s="911">
        <f>IF('Cronograma Físico Financeiro'!$AX$19=0,"",CONCATENATE("Executado ",('Cronograma Físico Financeiro'!#REF!+'Cronograma Físico Financeiro'!#REF!+'Cronograma Físico Financeiro'!#REF!)*100,"% de ",'Cronograma Físico Financeiro'!#REF!))</f>
      </c>
      <c r="C87" s="911"/>
    </row>
    <row r="88" spans="1:3" ht="7.5" customHeight="1" hidden="1">
      <c r="A88" s="910"/>
      <c r="B88" s="911"/>
      <c r="C88" s="911"/>
    </row>
    <row r="89" spans="1:3" ht="7.5" customHeight="1" hidden="1">
      <c r="A89" s="910">
        <v>11</v>
      </c>
      <c r="B89" s="911">
        <f>IF('Cronograma Físico Financeiro'!$AX$19=0,"",CONCATENATE("Executado ",('Cronograma Físico Financeiro'!#REF!+'Cronograma Físico Financeiro'!#REF!+'Cronograma Físico Financeiro'!#REF!)*100,"% de ",'Cronograma Físico Financeiro'!#REF!))</f>
      </c>
      <c r="C89" s="911"/>
    </row>
    <row r="90" spans="1:3" ht="7.5" customHeight="1" hidden="1">
      <c r="A90" s="910"/>
      <c r="B90" s="911"/>
      <c r="C90" s="911"/>
    </row>
    <row r="91" spans="1:3" ht="7.5" customHeight="1" hidden="1">
      <c r="A91" s="910">
        <v>12</v>
      </c>
      <c r="B91" s="911">
        <f>IF('Cronograma Físico Financeiro'!$AX$19=0,"",CONCATENATE("Executado ",('Cronograma Físico Financeiro'!#REF!+'Cronograma Físico Financeiro'!#REF!+'Cronograma Físico Financeiro'!#REF!)*100,"% de ",'Cronograma Físico Financeiro'!#REF!))</f>
      </c>
      <c r="C91" s="911"/>
    </row>
    <row r="92" spans="1:3" ht="7.5" customHeight="1" hidden="1">
      <c r="A92" s="910"/>
      <c r="B92" s="911"/>
      <c r="C92" s="911"/>
    </row>
    <row r="93" spans="1:3" ht="7.5" customHeight="1" hidden="1">
      <c r="A93" s="910">
        <v>13</v>
      </c>
      <c r="B93" s="911">
        <f>IF('Cronograma Físico Financeiro'!$AX$19=0,"",CONCATENATE("Executado ",('Cronograma Físico Financeiro'!#REF!+'Cronograma Físico Financeiro'!#REF!+'Cronograma Físico Financeiro'!#REF!)*100,"% de ",'Cronograma Físico Financeiro'!#REF!))</f>
      </c>
      <c r="C93" s="911"/>
    </row>
    <row r="94" spans="1:3" ht="7.5" customHeight="1" hidden="1">
      <c r="A94" s="910"/>
      <c r="B94" s="911"/>
      <c r="C94" s="911"/>
    </row>
    <row r="95" spans="1:3" ht="7.5" customHeight="1" hidden="1">
      <c r="A95" s="910">
        <v>14</v>
      </c>
      <c r="B95" s="911">
        <f>IF('Cronograma Físico Financeiro'!$AX$19=0,"",CONCATENATE("Executado ",('Cronograma Físico Financeiro'!#REF!+'Cronograma Físico Financeiro'!#REF!+'Cronograma Físico Financeiro'!#REF!)*100,"% de ",'Cronograma Físico Financeiro'!#REF!))</f>
      </c>
      <c r="C95" s="911"/>
    </row>
    <row r="96" spans="1:3" ht="7.5" customHeight="1" hidden="1">
      <c r="A96" s="910"/>
      <c r="B96" s="911"/>
      <c r="C96" s="911"/>
    </row>
    <row r="97" spans="1:3" ht="7.5" customHeight="1" hidden="1">
      <c r="A97" s="910">
        <v>15</v>
      </c>
      <c r="B97" s="911">
        <f>IF('Cronograma Físico Financeiro'!$AX$19=0,"",CONCATENATE("Executado ",('Cronograma Físico Financeiro'!#REF!+'Cronograma Físico Financeiro'!#REF!+'Cronograma Físico Financeiro'!#REF!)*100,"% de ",'Cronograma Físico Financeiro'!#REF!))</f>
      </c>
      <c r="C97" s="911"/>
    </row>
    <row r="98" spans="1:3" ht="7.5" customHeight="1" hidden="1">
      <c r="A98" s="910"/>
      <c r="B98" s="911"/>
      <c r="C98" s="911"/>
    </row>
    <row r="99" spans="1:3" ht="7.5" customHeight="1" hidden="1">
      <c r="A99" s="910">
        <v>16</v>
      </c>
      <c r="B99" s="911">
        <f>IF('Cronograma Físico Financeiro'!$AX$19=0,"",CONCATENATE("Executado ",('Cronograma Físico Financeiro'!#REF!+'Cronograma Físico Financeiro'!#REF!+'Cronograma Físico Financeiro'!#REF!)*100,"% de ",'Cronograma Físico Financeiro'!#REF!))</f>
      </c>
      <c r="C99" s="911"/>
    </row>
    <row r="100" spans="1:3" ht="7.5" customHeight="1" hidden="1">
      <c r="A100" s="910"/>
      <c r="B100" s="911"/>
      <c r="C100" s="911"/>
    </row>
    <row r="101" spans="1:3" ht="7.5" customHeight="1" hidden="1">
      <c r="A101" s="910">
        <v>17</v>
      </c>
      <c r="B101" s="911">
        <f>IF('Cronograma Físico Financeiro'!$AX$19=0,"",CONCATENATE("Executado ",('Cronograma Físico Financeiro'!#REF!+'Cronograma Físico Financeiro'!#REF!+'Cronograma Físico Financeiro'!#REF!)*100,"% de ",'Cronograma Físico Financeiro'!#REF!))</f>
      </c>
      <c r="C101" s="911"/>
    </row>
    <row r="102" spans="1:3" ht="7.5" customHeight="1" hidden="1">
      <c r="A102" s="910"/>
      <c r="B102" s="911"/>
      <c r="C102" s="911"/>
    </row>
    <row r="103" spans="1:3" ht="7.5" customHeight="1" hidden="1">
      <c r="A103" s="910">
        <v>18</v>
      </c>
      <c r="B103" s="911">
        <f>IF('Cronograma Físico Financeiro'!$AX$19=0,"",CONCATENATE("Executado ",('Cronograma Físico Financeiro'!#REF!+'Cronograma Físico Financeiro'!#REF!+'Cronograma Físico Financeiro'!#REF!)*100,"% de ",'Cronograma Físico Financeiro'!#REF!))</f>
      </c>
      <c r="C103" s="911"/>
    </row>
    <row r="104" spans="1:3" ht="7.5" customHeight="1" hidden="1">
      <c r="A104" s="910"/>
      <c r="B104" s="911"/>
      <c r="C104" s="911"/>
    </row>
    <row r="105" spans="1:3" ht="7.5" customHeight="1" hidden="1">
      <c r="A105" s="910">
        <v>19</v>
      </c>
      <c r="B105" s="911">
        <f>IF('Cronograma Físico Financeiro'!$AX$19=0,"",CONCATENATE("Executado ",('Cronograma Físico Financeiro'!#REF!+'Cronograma Físico Financeiro'!#REF!+'Cronograma Físico Financeiro'!#REF!)*100,"% de ",'Cronograma Físico Financeiro'!#REF!))</f>
      </c>
      <c r="C105" s="911"/>
    </row>
    <row r="106" spans="1:3" ht="7.5" customHeight="1" hidden="1">
      <c r="A106" s="910"/>
      <c r="B106" s="911"/>
      <c r="C106" s="911"/>
    </row>
    <row r="107" spans="1:3" ht="7.5" customHeight="1" hidden="1">
      <c r="A107" s="910">
        <v>20</v>
      </c>
      <c r="B107" s="911">
        <f>IF('Cronograma Físico Financeiro'!$AX$19=0,"",CONCATENATE("Executado ",('Cronograma Físico Financeiro'!#REF!+'Cronograma Físico Financeiro'!#REF!+'Cronograma Físico Financeiro'!#REF!)*100,"% de ",'Cronograma Físico Financeiro'!#REF!))</f>
      </c>
      <c r="C107" s="911"/>
    </row>
    <row r="108" spans="1:3" ht="7.5" customHeight="1" hidden="1">
      <c r="A108" s="910"/>
      <c r="B108" s="911"/>
      <c r="C108" s="911"/>
    </row>
    <row r="109" spans="1:3" ht="7.5" customHeight="1" hidden="1">
      <c r="A109" s="910">
        <v>21</v>
      </c>
      <c r="B109" s="911">
        <f>IF('Cronograma Físico Financeiro'!$AX$19=0,"",CONCATENATE("Executado ",('Cronograma Físico Financeiro'!#REF!+'Cronograma Físico Financeiro'!#REF!+'Cronograma Físico Financeiro'!#REF!)*100,"% de ",'Cronograma Físico Financeiro'!#REF!))</f>
      </c>
      <c r="C109" s="911"/>
    </row>
    <row r="110" spans="1:3" ht="7.5" customHeight="1" hidden="1">
      <c r="A110" s="910"/>
      <c r="B110" s="911"/>
      <c r="C110" s="911"/>
    </row>
    <row r="111" spans="1:3" ht="7.5" customHeight="1" hidden="1">
      <c r="A111" s="910">
        <v>22</v>
      </c>
      <c r="B111" s="911">
        <f>IF('Cronograma Físico Financeiro'!$AX$19=0,"",CONCATENATE("Executado ",('Cronograma Físico Financeiro'!#REF!+'Cronograma Físico Financeiro'!#REF!+'Cronograma Físico Financeiro'!#REF!)*100,"% de ",'Cronograma Físico Financeiro'!#REF!))</f>
      </c>
      <c r="C111" s="911"/>
    </row>
    <row r="112" spans="1:3" ht="7.5" customHeight="1" hidden="1">
      <c r="A112" s="910"/>
      <c r="B112" s="911"/>
      <c r="C112" s="911"/>
    </row>
    <row r="113" spans="1:3" ht="7.5" customHeight="1" hidden="1">
      <c r="A113" s="910">
        <v>26</v>
      </c>
      <c r="B113" s="911">
        <f>IF('Cronograma Físico Financeiro'!$AX$19=0,"",CONCATENATE("Executado ",('Cronograma Físico Financeiro'!#REF!+'Cronograma Físico Financeiro'!#REF!+'Cronograma Físico Financeiro'!#REF!)*100,"% de ",'Cronograma Físico Financeiro'!#REF!))</f>
      </c>
      <c r="C113" s="911"/>
    </row>
    <row r="114" spans="1:3" ht="7.5" customHeight="1" hidden="1">
      <c r="A114" s="910"/>
      <c r="B114" s="911"/>
      <c r="C114" s="911"/>
    </row>
    <row r="115" spans="1:3" ht="7.5" customHeight="1" hidden="1">
      <c r="A115" s="910">
        <v>28</v>
      </c>
      <c r="B115" s="911">
        <f>IF('Cronograma Físico Financeiro'!$AX$19=0,"",CONCATENATE("Executado ",('Cronograma Físico Financeiro'!#REF!+'Cronograma Físico Financeiro'!#REF!+'Cronograma Físico Financeiro'!#REF!)*100,"% de ",'Cronograma Físico Financeiro'!#REF!))</f>
      </c>
      <c r="C115" s="911"/>
    </row>
    <row r="116" spans="1:3" ht="7.5" customHeight="1" hidden="1">
      <c r="A116" s="910"/>
      <c r="B116" s="911"/>
      <c r="C116" s="911"/>
    </row>
    <row r="117" spans="1:3" ht="7.5" customHeight="1" hidden="1">
      <c r="A117" s="910">
        <v>29</v>
      </c>
      <c r="B117" s="911">
        <f>IF('Cronograma Físico Financeiro'!$AX$19=0,"",CONCATENATE("Executado ",('Cronograma Físico Financeiro'!#REF!+'Cronograma Físico Financeiro'!#REF!+'Cronograma Físico Financeiro'!#REF!)*100,"% de ",'Cronograma Físico Financeiro'!#REF!))</f>
      </c>
      <c r="C117" s="911"/>
    </row>
    <row r="118" spans="1:3" ht="7.5" customHeight="1" hidden="1">
      <c r="A118" s="910"/>
      <c r="B118" s="911"/>
      <c r="C118" s="911"/>
    </row>
    <row r="119" spans="1:3" ht="7.5" customHeight="1" hidden="1">
      <c r="A119" s="910">
        <v>30</v>
      </c>
      <c r="B119" s="911">
        <f>IF('Cronograma Físico Financeiro'!$AX$19=0,"",CONCATENATE("Executado ",('Cronograma Físico Financeiro'!#REF!+'Cronograma Físico Financeiro'!#REF!+'Cronograma Físico Financeiro'!#REF!)*100,"% de ",'Cronograma Físico Financeiro'!#REF!))</f>
      </c>
      <c r="C119" s="911"/>
    </row>
    <row r="120" spans="1:3" ht="7.5" customHeight="1" hidden="1">
      <c r="A120" s="910"/>
      <c r="B120" s="911"/>
      <c r="C120" s="911"/>
    </row>
    <row r="121" ht="15" hidden="1"/>
    <row r="122" spans="1:3" ht="15" hidden="1">
      <c r="A122" s="916" t="s">
        <v>101</v>
      </c>
      <c r="B122" s="916"/>
      <c r="C122" s="916"/>
    </row>
    <row r="123" spans="1:3" ht="15" hidden="1">
      <c r="A123" s="57"/>
      <c r="B123" s="57"/>
      <c r="C123" s="57"/>
    </row>
    <row r="124" spans="1:3" ht="15" hidden="1">
      <c r="A124" s="917" t="e">
        <f>'Cronograma Físico Financeiro'!AF33</f>
        <v>#REF!</v>
      </c>
      <c r="B124" s="917"/>
      <c r="C124" s="917"/>
    </row>
    <row r="125" spans="1:3" ht="7.5" customHeight="1" hidden="1">
      <c r="A125" s="76"/>
      <c r="B125" s="76"/>
      <c r="C125" s="76"/>
    </row>
    <row r="126" spans="1:3" ht="15" hidden="1">
      <c r="A126" s="912" t="s">
        <v>102</v>
      </c>
      <c r="B126" s="913"/>
      <c r="C126" s="913"/>
    </row>
    <row r="127" spans="1:3" ht="7.5" customHeight="1" hidden="1">
      <c r="A127" s="77"/>
      <c r="B127" s="77"/>
      <c r="C127" s="77"/>
    </row>
    <row r="128" spans="1:3" ht="15" hidden="1">
      <c r="A128" s="913" t="s">
        <v>18</v>
      </c>
      <c r="B128" s="913"/>
      <c r="C128" s="913"/>
    </row>
    <row r="129" spans="1:3" ht="7.5" customHeight="1" hidden="1">
      <c r="A129" s="77"/>
      <c r="B129" s="77"/>
      <c r="C129" s="77"/>
    </row>
    <row r="130" spans="1:3" ht="7.5" customHeight="1" hidden="1">
      <c r="A130" s="910">
        <v>1</v>
      </c>
      <c r="B130" s="911">
        <f>IF('Cronograma Físico Financeiro'!$AX$17=0,"",CONCATENATE("Executado ",('Cronograma Físico Financeiro'!$I$17+'Cronograma Físico Financeiro'!$N$17+'Cronograma Físico Financeiro'!$W$17+'Cronograma Físico Financeiro'!$AF$17)*100,"% de ",'Cronograma Físico Financeiro'!$B$17))</f>
      </c>
      <c r="C130" s="911"/>
    </row>
    <row r="131" spans="1:3" ht="7.5" customHeight="1" hidden="1">
      <c r="A131" s="910"/>
      <c r="B131" s="911"/>
      <c r="C131" s="911"/>
    </row>
    <row r="132" spans="1:3" ht="7.5" customHeight="1" hidden="1">
      <c r="A132" s="910">
        <v>2</v>
      </c>
      <c r="B132" s="911">
        <f>IF('Cronograma Físico Financeiro'!$AX$19=0,"",CONCATENATE("Executado ",('Cronograma Físico Financeiro'!$I$19+'Cronograma Físico Financeiro'!$N$19+'Cronograma Físico Financeiro'!$W$19+'Cronograma Físico Financeiro'!$AF$19)*100,"% de ",'Cronograma Físico Financeiro'!$B$19))</f>
      </c>
      <c r="C132" s="911"/>
    </row>
    <row r="133" spans="1:3" ht="7.5" customHeight="1" hidden="1">
      <c r="A133" s="910"/>
      <c r="B133" s="911"/>
      <c r="C133" s="911"/>
    </row>
    <row r="134" spans="1:3" ht="7.5" customHeight="1" hidden="1">
      <c r="A134" s="910">
        <v>3</v>
      </c>
      <c r="B134" s="911">
        <f>IF('Cronograma Físico Financeiro'!$AX$19=0,"",CONCATENATE("Executado ",('Cronograma Físico Financeiro'!$I$21+'Cronograma Físico Financeiro'!$N$21+'Cronograma Físico Financeiro'!$W$80+'Cronograma Físico Financeiro'!$AF$21)*100,"% de ",'Cronograma Físico Financeiro'!$B$21))</f>
      </c>
      <c r="C134" s="911"/>
    </row>
    <row r="135" spans="1:3" ht="7.5" customHeight="1" hidden="1">
      <c r="A135" s="910"/>
      <c r="B135" s="911"/>
      <c r="C135" s="911"/>
    </row>
    <row r="136" spans="1:3" ht="7.5" customHeight="1" hidden="1">
      <c r="A136" s="910">
        <v>4</v>
      </c>
      <c r="B136" s="911">
        <f>IF('Cronograma Físico Financeiro'!$AX$19=0,"",CONCATENATE("Executado ",('Cronograma Físico Financeiro'!$I$23+'Cronograma Físico Financeiro'!$N$23+'Cronograma Físico Financeiro'!$W$23+'Cronograma Físico Financeiro'!$AF$23)*100,"% de ",'Cronograma Físico Financeiro'!$B$23))</f>
      </c>
      <c r="C136" s="911"/>
    </row>
    <row r="137" spans="1:3" ht="7.5" customHeight="1" hidden="1">
      <c r="A137" s="910"/>
      <c r="B137" s="911"/>
      <c r="C137" s="911"/>
    </row>
    <row r="138" spans="1:3" ht="7.5" customHeight="1" hidden="1">
      <c r="A138" s="910">
        <v>5</v>
      </c>
      <c r="B138" s="911">
        <f>IF('Cronograma Físico Financeiro'!$AX$17=0,"",CONCATENATE("Executado ",('Cronograma Físico Financeiro'!$I$25+'Cronograma Físico Financeiro'!$N$25+'Cronograma Físico Financeiro'!$W$25+'Cronograma Físico Financeiro'!$AF$25)*100,"% de ",'Cronograma Físico Financeiro'!$B$25))</f>
      </c>
      <c r="C138" s="911"/>
    </row>
    <row r="139" spans="1:3" ht="7.5" customHeight="1" hidden="1">
      <c r="A139" s="910"/>
      <c r="B139" s="911"/>
      <c r="C139" s="911"/>
    </row>
    <row r="140" spans="1:3" ht="7.5" customHeight="1" hidden="1">
      <c r="A140" s="910">
        <v>6</v>
      </c>
      <c r="B140" s="911">
        <f>IF('Cronograma Físico Financeiro'!$AX$19=0,"",CONCATENATE("Executado ",('Cronograma Físico Financeiro'!$I$27+'Cronograma Físico Financeiro'!$N$27+'Cronograma Físico Financeiro'!$W$27+'Cronograma Físico Financeiro'!$AF$27)*100,"% de ",'Cronograma Físico Financeiro'!$B$27))</f>
      </c>
      <c r="C140" s="911"/>
    </row>
    <row r="141" spans="1:3" ht="7.5" customHeight="1" hidden="1">
      <c r="A141" s="910"/>
      <c r="B141" s="911"/>
      <c r="C141" s="911"/>
    </row>
    <row r="142" spans="1:3" ht="7.5" customHeight="1" hidden="1">
      <c r="A142" s="910">
        <v>7</v>
      </c>
      <c r="B142" s="911">
        <f>IF('Cronograma Físico Financeiro'!$AX$19=0,"",CONCATENATE("Executado ",('Cronograma Físico Financeiro'!$I$29+'Cronograma Físico Financeiro'!$N$29+'Cronograma Físico Financeiro'!$W$29+'Cronograma Físico Financeiro'!$AF$29)*100,"% de ",'Cronograma Físico Financeiro'!$B$29))</f>
      </c>
      <c r="C142" s="911"/>
    </row>
    <row r="143" spans="1:3" ht="7.5" customHeight="1" hidden="1">
      <c r="A143" s="910"/>
      <c r="B143" s="911"/>
      <c r="C143" s="911"/>
    </row>
    <row r="144" spans="1:3" ht="7.5" customHeight="1" hidden="1">
      <c r="A144" s="910">
        <v>8</v>
      </c>
      <c r="B144" s="911">
        <f>IF('Cronograma Físico Financeiro'!$AX$19=0,"",CONCATENATE("Executado ",('Cronograma Físico Financeiro'!#REF!+'Cronograma Físico Financeiro'!#REF!+'Cronograma Físico Financeiro'!#REF!+'Cronograma Físico Financeiro'!#REF!)*100,"% de ",'Cronograma Físico Financeiro'!#REF!))</f>
      </c>
      <c r="C144" s="911"/>
    </row>
    <row r="145" spans="1:3" ht="7.5" customHeight="1" hidden="1">
      <c r="A145" s="910"/>
      <c r="B145" s="911"/>
      <c r="C145" s="911"/>
    </row>
    <row r="146" spans="1:3" ht="7.5" customHeight="1" hidden="1">
      <c r="A146" s="910">
        <v>9</v>
      </c>
      <c r="B146" s="911">
        <f>IF('Cronograma Físico Financeiro'!$AX$19=0,"",CONCATENATE("Executado ",('Cronograma Físico Financeiro'!#REF!+'Cronograma Físico Financeiro'!#REF!+'Cronograma Físico Financeiro'!#REF!+'Cronograma Físico Financeiro'!#REF!)*100,"% de ",'Cronograma Físico Financeiro'!#REF!))</f>
      </c>
      <c r="C146" s="911"/>
    </row>
    <row r="147" spans="1:3" ht="7.5" customHeight="1" hidden="1">
      <c r="A147" s="910"/>
      <c r="B147" s="911"/>
      <c r="C147" s="911"/>
    </row>
    <row r="148" spans="1:3" ht="7.5" customHeight="1" hidden="1">
      <c r="A148" s="910">
        <v>10</v>
      </c>
      <c r="B148" s="911">
        <f>IF('Cronograma Físico Financeiro'!$AX$19=0,"",CONCATENATE("Executado ",('Cronograma Físico Financeiro'!#REF!+'Cronograma Físico Financeiro'!#REF!+'Cronograma Físico Financeiro'!#REF!+'Cronograma Físico Financeiro'!#REF!)*100,"% de ",'Cronograma Físico Financeiro'!#REF!))</f>
      </c>
      <c r="C148" s="911"/>
    </row>
    <row r="149" spans="1:3" ht="7.5" customHeight="1" hidden="1">
      <c r="A149" s="910"/>
      <c r="B149" s="911"/>
      <c r="C149" s="911"/>
    </row>
    <row r="150" spans="1:3" ht="7.5" customHeight="1" hidden="1">
      <c r="A150" s="910">
        <v>11</v>
      </c>
      <c r="B150" s="911">
        <f>IF('Cronograma Físico Financeiro'!$AX$19=0,"",CONCATENATE("Executado ",('Cronograma Físico Financeiro'!#REF!+'Cronograma Físico Financeiro'!#REF!+'Cronograma Físico Financeiro'!#REF!+'Cronograma Físico Financeiro'!#REF!)*100,"% de ",'Cronograma Físico Financeiro'!#REF!))</f>
      </c>
      <c r="C150" s="911"/>
    </row>
    <row r="151" spans="1:3" ht="7.5" customHeight="1" hidden="1">
      <c r="A151" s="910"/>
      <c r="B151" s="911"/>
      <c r="C151" s="911"/>
    </row>
    <row r="152" spans="1:3" ht="7.5" customHeight="1" hidden="1">
      <c r="A152" s="910">
        <v>12</v>
      </c>
      <c r="B152" s="911">
        <f>IF('Cronograma Físico Financeiro'!$AX$19=0,"",CONCATENATE("Executado ",('Cronograma Físico Financeiro'!#REF!+'Cronograma Físico Financeiro'!#REF!+'Cronograma Físico Financeiro'!#REF!+'Cronograma Físico Financeiro'!#REF!)*100,"% de ",'Cronograma Físico Financeiro'!#REF!))</f>
      </c>
      <c r="C152" s="911"/>
    </row>
    <row r="153" spans="1:3" ht="7.5" customHeight="1" hidden="1">
      <c r="A153" s="910"/>
      <c r="B153" s="911"/>
      <c r="C153" s="911"/>
    </row>
    <row r="154" spans="1:3" ht="7.5" customHeight="1" hidden="1">
      <c r="A154" s="910">
        <v>13</v>
      </c>
      <c r="B154" s="911">
        <f>IF('Cronograma Físico Financeiro'!$AX$19=0,"",CONCATENATE("Executado ",('Cronograma Físico Financeiro'!#REF!+'Cronograma Físico Financeiro'!#REF!+'Cronograma Físico Financeiro'!#REF!+'Cronograma Físico Financeiro'!#REF!)*100,"% de ",'Cronograma Físico Financeiro'!#REF!))</f>
      </c>
      <c r="C154" s="911"/>
    </row>
    <row r="155" spans="1:3" ht="7.5" customHeight="1" hidden="1">
      <c r="A155" s="910"/>
      <c r="B155" s="911"/>
      <c r="C155" s="911"/>
    </row>
    <row r="156" spans="1:3" ht="7.5" customHeight="1" hidden="1">
      <c r="A156" s="910">
        <v>14</v>
      </c>
      <c r="B156" s="911">
        <f>IF('Cronograma Físico Financeiro'!$AX$19=0,"",CONCATENATE("Executado ",('Cronograma Físico Financeiro'!#REF!+'Cronograma Físico Financeiro'!#REF!+'Cronograma Físico Financeiro'!#REF!+'Cronograma Físico Financeiro'!#REF!)*100,"% de ",'Cronograma Físico Financeiro'!#REF!))</f>
      </c>
      <c r="C156" s="911"/>
    </row>
    <row r="157" spans="1:3" ht="7.5" customHeight="1" hidden="1">
      <c r="A157" s="910"/>
      <c r="B157" s="911"/>
      <c r="C157" s="911"/>
    </row>
    <row r="158" spans="1:3" ht="7.5" customHeight="1" hidden="1">
      <c r="A158" s="910">
        <v>15</v>
      </c>
      <c r="B158" s="911">
        <f>IF('Cronograma Físico Financeiro'!$AX$19=0,"",CONCATENATE("Executado ",('Cronograma Físico Financeiro'!#REF!+'Cronograma Físico Financeiro'!#REF!+'Cronograma Físico Financeiro'!#REF!+'Cronograma Físico Financeiro'!#REF!)*100,"% de ",'Cronograma Físico Financeiro'!#REF!))</f>
      </c>
      <c r="C158" s="911"/>
    </row>
    <row r="159" spans="1:3" ht="7.5" customHeight="1" hidden="1">
      <c r="A159" s="910"/>
      <c r="B159" s="911"/>
      <c r="C159" s="911"/>
    </row>
    <row r="160" spans="1:3" ht="7.5" customHeight="1" hidden="1">
      <c r="A160" s="910">
        <v>16</v>
      </c>
      <c r="B160" s="911">
        <f>IF('Cronograma Físico Financeiro'!$AX$19=0,"",CONCATENATE("Executado ",('Cronograma Físico Financeiro'!#REF!+'Cronograma Físico Financeiro'!#REF!+'Cronograma Físico Financeiro'!#REF!+'Cronograma Físico Financeiro'!#REF!)*100,"% de ",'Cronograma Físico Financeiro'!#REF!))</f>
      </c>
      <c r="C160" s="911"/>
    </row>
    <row r="161" spans="1:3" ht="7.5" customHeight="1" hidden="1">
      <c r="A161" s="910"/>
      <c r="B161" s="911"/>
      <c r="C161" s="911"/>
    </row>
    <row r="162" spans="1:3" ht="7.5" customHeight="1" hidden="1">
      <c r="A162" s="910">
        <v>17</v>
      </c>
      <c r="B162" s="911">
        <f>IF('Cronograma Físico Financeiro'!$AX$19=0,"",CONCATENATE("Executado ",('Cronograma Físico Financeiro'!#REF!+'Cronograma Físico Financeiro'!#REF!+'Cronograma Físico Financeiro'!#REF!+'Cronograma Físico Financeiro'!#REF!)*100,"% de ",'Cronograma Físico Financeiro'!#REF!))</f>
      </c>
      <c r="C162" s="911"/>
    </row>
    <row r="163" spans="1:3" ht="7.5" customHeight="1" hidden="1">
      <c r="A163" s="910"/>
      <c r="B163" s="911"/>
      <c r="C163" s="911"/>
    </row>
    <row r="164" spans="1:3" ht="7.5" customHeight="1" hidden="1">
      <c r="A164" s="910">
        <v>18</v>
      </c>
      <c r="B164" s="911">
        <f>IF('Cronograma Físico Financeiro'!$AX$19=0,"",CONCATENATE("Executado ",('Cronograma Físico Financeiro'!#REF!+'Cronograma Físico Financeiro'!#REF!+'Cronograma Físico Financeiro'!#REF!+'Cronograma Físico Financeiro'!#REF!)*100,"% de ",'Cronograma Físico Financeiro'!#REF!))</f>
      </c>
      <c r="C164" s="911"/>
    </row>
    <row r="165" spans="1:3" ht="7.5" customHeight="1" hidden="1">
      <c r="A165" s="910"/>
      <c r="B165" s="911"/>
      <c r="C165" s="911"/>
    </row>
    <row r="166" spans="1:3" ht="7.5" customHeight="1" hidden="1">
      <c r="A166" s="910">
        <v>19</v>
      </c>
      <c r="B166" s="911">
        <f>IF('Cronograma Físico Financeiro'!$AX$19=0,"",CONCATENATE("Executado ",('Cronograma Físico Financeiro'!#REF!+'Cronograma Físico Financeiro'!#REF!+'Cronograma Físico Financeiro'!#REF!+'Cronograma Físico Financeiro'!#REF!)*100,"% de ",'Cronograma Físico Financeiro'!#REF!))</f>
      </c>
      <c r="C166" s="911"/>
    </row>
    <row r="167" spans="1:3" ht="7.5" customHeight="1" hidden="1">
      <c r="A167" s="910"/>
      <c r="B167" s="911"/>
      <c r="C167" s="911"/>
    </row>
    <row r="168" spans="1:3" ht="7.5" customHeight="1" hidden="1">
      <c r="A168" s="910">
        <v>20</v>
      </c>
      <c r="B168" s="911">
        <f>IF('Cronograma Físico Financeiro'!$AX$19=0,"",CONCATENATE("Executado ",('Cronograma Físico Financeiro'!#REF!+'Cronograma Físico Financeiro'!#REF!+'Cronograma Físico Financeiro'!#REF!+'Cronograma Físico Financeiro'!#REF!)*100,"% de ",'Cronograma Físico Financeiro'!#REF!))</f>
      </c>
      <c r="C168" s="911"/>
    </row>
    <row r="169" spans="1:3" ht="7.5" customHeight="1" hidden="1">
      <c r="A169" s="910"/>
      <c r="B169" s="911"/>
      <c r="C169" s="911"/>
    </row>
    <row r="170" spans="1:3" ht="7.5" customHeight="1" hidden="1">
      <c r="A170" s="910">
        <v>21</v>
      </c>
      <c r="B170" s="911">
        <f>IF('Cronograma Físico Financeiro'!$AX$19=0,"",CONCATENATE("Executado ",('Cronograma Físico Financeiro'!#REF!+'Cronograma Físico Financeiro'!#REF!+'Cronograma Físico Financeiro'!#REF!+'Cronograma Físico Financeiro'!#REF!)*100,"% de ",'Cronograma Físico Financeiro'!#REF!))</f>
      </c>
      <c r="C170" s="911"/>
    </row>
    <row r="171" spans="1:3" ht="7.5" customHeight="1" hidden="1">
      <c r="A171" s="910"/>
      <c r="B171" s="911"/>
      <c r="C171" s="911"/>
    </row>
    <row r="172" spans="1:3" ht="7.5" customHeight="1" hidden="1">
      <c r="A172" s="910">
        <v>22</v>
      </c>
      <c r="B172" s="911">
        <f>IF('Cronograma Físico Financeiro'!$AX$19=0,"",CONCATENATE("Executado ",('Cronograma Físico Financeiro'!#REF!+'Cronograma Físico Financeiro'!#REF!+'Cronograma Físico Financeiro'!#REF!+'Cronograma Físico Financeiro'!#REF!)*100,"% de ",'Cronograma Físico Financeiro'!#REF!))</f>
      </c>
      <c r="C172" s="911"/>
    </row>
    <row r="173" spans="1:3" ht="7.5" customHeight="1" hidden="1">
      <c r="A173" s="910"/>
      <c r="B173" s="911"/>
      <c r="C173" s="911"/>
    </row>
    <row r="174" spans="1:3" ht="7.5" customHeight="1" hidden="1">
      <c r="A174" s="910">
        <v>26</v>
      </c>
      <c r="B174" s="911">
        <f>IF('Cronograma Físico Financeiro'!$AX$19=0,"",CONCATENATE("Executado ",('Cronograma Físico Financeiro'!#REF!+'Cronograma Físico Financeiro'!#REF!+'Cronograma Físico Financeiro'!#REF!+'Cronograma Físico Financeiro'!#REF!)*100,"% de ",'Cronograma Físico Financeiro'!#REF!))</f>
      </c>
      <c r="C174" s="911"/>
    </row>
    <row r="175" spans="1:3" ht="7.5" customHeight="1" hidden="1">
      <c r="A175" s="910"/>
      <c r="B175" s="911"/>
      <c r="C175" s="911"/>
    </row>
    <row r="176" spans="1:3" ht="7.5" customHeight="1" hidden="1">
      <c r="A176" s="910">
        <v>28</v>
      </c>
      <c r="B176" s="911">
        <f>IF('Cronograma Físico Financeiro'!$AX$19=0,"",CONCATENATE("Executado ",('Cronograma Físico Financeiro'!#REF!+'Cronograma Físico Financeiro'!#REF!+'Cronograma Físico Financeiro'!#REF!+'Cronograma Físico Financeiro'!#REF!)*100,"% de ",'Cronograma Físico Financeiro'!#REF!))</f>
      </c>
      <c r="C176" s="911"/>
    </row>
    <row r="177" spans="1:3" ht="7.5" customHeight="1" hidden="1">
      <c r="A177" s="910"/>
      <c r="B177" s="911"/>
      <c r="C177" s="911"/>
    </row>
    <row r="178" spans="1:3" ht="7.5" customHeight="1" hidden="1">
      <c r="A178" s="910">
        <v>29</v>
      </c>
      <c r="B178" s="911">
        <f>IF('Cronograma Físico Financeiro'!$AX$19=0,"",CONCATENATE("Executado ",('Cronograma Físico Financeiro'!#REF!+'Cronograma Físico Financeiro'!#REF!+'Cronograma Físico Financeiro'!#REF!+'Cronograma Físico Financeiro'!#REF!)*100,"% de ",'Cronograma Físico Financeiro'!#REF!))</f>
      </c>
      <c r="C178" s="911"/>
    </row>
    <row r="179" spans="1:3" ht="7.5" customHeight="1" hidden="1">
      <c r="A179" s="910"/>
      <c r="B179" s="911"/>
      <c r="C179" s="911"/>
    </row>
    <row r="180" spans="1:3" ht="7.5" customHeight="1" hidden="1">
      <c r="A180" s="910">
        <v>30</v>
      </c>
      <c r="B180" s="911">
        <f>IF('Cronograma Físico Financeiro'!$AX$19=0,"",CONCATENATE("Executado ",('Cronograma Físico Financeiro'!#REF!+'Cronograma Físico Financeiro'!#REF!+'Cronograma Físico Financeiro'!#REF!+'Cronograma Físico Financeiro'!#REF!)*100,"% de ",'Cronograma Físico Financeiro'!#REF!))</f>
      </c>
      <c r="C180" s="911"/>
    </row>
    <row r="181" spans="1:3" ht="7.5" customHeight="1" hidden="1">
      <c r="A181" s="910"/>
      <c r="B181" s="911"/>
      <c r="C181" s="911"/>
    </row>
    <row r="182" ht="15" hidden="1"/>
    <row r="183" spans="1:3" ht="15" hidden="1">
      <c r="A183" s="916" t="s">
        <v>103</v>
      </c>
      <c r="B183" s="916"/>
      <c r="C183" s="916"/>
    </row>
    <row r="184" spans="1:3" ht="15" hidden="1">
      <c r="A184" s="57"/>
      <c r="B184" s="57"/>
      <c r="C184" s="57"/>
    </row>
    <row r="185" spans="1:3" ht="15" hidden="1">
      <c r="A185" s="917" t="e">
        <f>'Cronograma Físico Financeiro'!AO33</f>
        <v>#REF!</v>
      </c>
      <c r="B185" s="917"/>
      <c r="C185" s="917"/>
    </row>
    <row r="186" spans="1:3" ht="7.5" customHeight="1" hidden="1">
      <c r="A186" s="76"/>
      <c r="B186" s="76"/>
      <c r="C186" s="76"/>
    </row>
    <row r="187" spans="1:3" ht="15" hidden="1">
      <c r="A187" s="912" t="s">
        <v>104</v>
      </c>
      <c r="B187" s="913"/>
      <c r="C187" s="913"/>
    </row>
    <row r="188" spans="1:3" ht="7.5" customHeight="1" hidden="1">
      <c r="A188" s="77"/>
      <c r="B188" s="77"/>
      <c r="C188" s="77"/>
    </row>
    <row r="189" spans="1:3" ht="15" hidden="1">
      <c r="A189" s="913" t="s">
        <v>18</v>
      </c>
      <c r="B189" s="913"/>
      <c r="C189" s="913"/>
    </row>
    <row r="190" spans="1:3" ht="7.5" customHeight="1" hidden="1">
      <c r="A190" s="77"/>
      <c r="B190" s="77"/>
      <c r="C190" s="77"/>
    </row>
    <row r="191" spans="1:3" ht="7.5" customHeight="1" hidden="1">
      <c r="A191" s="910">
        <v>1</v>
      </c>
      <c r="B191" s="911">
        <f>IF('Cronograma Físico Financeiro'!$AX$17=0,"",CONCATENATE("Executado ",('Cronograma Físico Financeiro'!$I$17+'Cronograma Físico Financeiro'!$N$17+'Cronograma Físico Financeiro'!$W$17+'Cronograma Físico Financeiro'!$AF$17+'Cronograma Físico Financeiro'!$AO$17)*100,"% de ",'Cronograma Físico Financeiro'!$B$17))</f>
      </c>
      <c r="C191" s="911"/>
    </row>
    <row r="192" spans="1:3" ht="7.5" customHeight="1" hidden="1">
      <c r="A192" s="910"/>
      <c r="B192" s="911"/>
      <c r="C192" s="911"/>
    </row>
    <row r="193" spans="1:3" ht="7.5" customHeight="1" hidden="1">
      <c r="A193" s="910">
        <v>2</v>
      </c>
      <c r="B193" s="911">
        <f>IF('Cronograma Físico Financeiro'!$AX$19=0,"",CONCATENATE("Executado ",('Cronograma Físico Financeiro'!$I$19+'Cronograma Físico Financeiro'!$N$19+'Cronograma Físico Financeiro'!$W$19+'Cronograma Físico Financeiro'!$AF$19+'Cronograma Físico Financeiro'!$AO$19)*100,"% de ",'Cronograma Físico Financeiro'!$B$19))</f>
      </c>
      <c r="C193" s="911"/>
    </row>
    <row r="194" spans="1:3" ht="7.5" customHeight="1" hidden="1">
      <c r="A194" s="910"/>
      <c r="B194" s="911"/>
      <c r="C194" s="911"/>
    </row>
    <row r="195" spans="1:3" ht="7.5" customHeight="1" hidden="1">
      <c r="A195" s="910">
        <v>3</v>
      </c>
      <c r="B195" s="911">
        <f>IF('Cronograma Físico Financeiro'!$AX$19=0,"",CONCATENATE("Executado ",('Cronograma Físico Financeiro'!$I$21+'Cronograma Físico Financeiro'!$N$21+'Cronograma Físico Financeiro'!$W$80+'Cronograma Físico Financeiro'!$AF$21+'Cronograma Físico Financeiro'!$AO$21)*100,"% de ",'Cronograma Físico Financeiro'!$B$21))</f>
      </c>
      <c r="C195" s="911"/>
    </row>
    <row r="196" spans="1:3" ht="7.5" customHeight="1" hidden="1">
      <c r="A196" s="910"/>
      <c r="B196" s="911"/>
      <c r="C196" s="911"/>
    </row>
    <row r="197" spans="1:3" ht="7.5" customHeight="1" hidden="1">
      <c r="A197" s="910">
        <v>4</v>
      </c>
      <c r="B197" s="911">
        <f>IF('Cronograma Físico Financeiro'!$AX$19=0,"",CONCATENATE("Executado ",('Cronograma Físico Financeiro'!$I$23+'Cronograma Físico Financeiro'!$N$23+'Cronograma Físico Financeiro'!$W$23+'Cronograma Físico Financeiro'!$AF$23+'Cronograma Físico Financeiro'!$AO$21)*100,"% de ",'Cronograma Físico Financeiro'!$B$23))</f>
      </c>
      <c r="C197" s="911"/>
    </row>
    <row r="198" spans="1:3" ht="7.5" customHeight="1" hidden="1">
      <c r="A198" s="910"/>
      <c r="B198" s="911"/>
      <c r="C198" s="911"/>
    </row>
    <row r="199" spans="1:3" ht="7.5" customHeight="1" hidden="1">
      <c r="A199" s="910">
        <v>5</v>
      </c>
      <c r="B199" s="911">
        <f>IF('Cronograma Físico Financeiro'!$AX$17=0,"",CONCATENATE("Executado ",('Cronograma Físico Financeiro'!$I$25+'Cronograma Físico Financeiro'!$N$25+'Cronograma Físico Financeiro'!$W$25+'Cronograma Físico Financeiro'!$AF$25+'Cronograma Físico Financeiro'!$AO$21)*100,"% de ",'Cronograma Físico Financeiro'!$B$25))</f>
      </c>
      <c r="C199" s="911"/>
    </row>
    <row r="200" spans="1:3" ht="7.5" customHeight="1" hidden="1">
      <c r="A200" s="910"/>
      <c r="B200" s="911"/>
      <c r="C200" s="911"/>
    </row>
    <row r="201" spans="1:3" ht="7.5" customHeight="1" hidden="1">
      <c r="A201" s="910">
        <v>6</v>
      </c>
      <c r="B201" s="911">
        <f>IF('Cronograma Físico Financeiro'!$AX$19=0,"",CONCATENATE("Executado ",('Cronograma Físico Financeiro'!$I$27+'Cronograma Físico Financeiro'!$N$27+'Cronograma Físico Financeiro'!$W$27+'Cronograma Físico Financeiro'!$AF$27+'Cronograma Físico Financeiro'!$AO$21)*100,"% de ",'Cronograma Físico Financeiro'!$B$27))</f>
      </c>
      <c r="C201" s="911"/>
    </row>
    <row r="202" spans="1:3" ht="7.5" customHeight="1" hidden="1">
      <c r="A202" s="910"/>
      <c r="B202" s="911"/>
      <c r="C202" s="911"/>
    </row>
    <row r="203" spans="1:3" ht="7.5" customHeight="1" hidden="1">
      <c r="A203" s="910">
        <v>7</v>
      </c>
      <c r="B203" s="911">
        <f>IF('Cronograma Físico Financeiro'!$AX$19=0,"",CONCATENATE("Executado ",('Cronograma Físico Financeiro'!$I$29+'Cronograma Físico Financeiro'!$N$29+'Cronograma Físico Financeiro'!$W$29+'Cronograma Físico Financeiro'!$AF$29+'Cronograma Físico Financeiro'!$AO$29)*100,"% de ",'Cronograma Físico Financeiro'!$B$29))</f>
      </c>
      <c r="C203" s="911"/>
    </row>
    <row r="204" spans="1:3" ht="7.5" customHeight="1" hidden="1">
      <c r="A204" s="910"/>
      <c r="B204" s="911"/>
      <c r="C204" s="911"/>
    </row>
    <row r="205" spans="1:3" ht="7.5" customHeight="1" hidden="1">
      <c r="A205" s="910">
        <v>8</v>
      </c>
      <c r="B205" s="911">
        <f>IF('Cronograma Físico Financeiro'!$AX$19=0,"",CONCATENATE("Executado ",('Cronograma Físico Financeiro'!#REF!+'Cronograma Físico Financeiro'!#REF!+'Cronograma Físico Financeiro'!#REF!+'Cronograma Físico Financeiro'!#REF!+'Cronograma Físico Financeiro'!#REF!)*100,"% de ",'Cronograma Físico Financeiro'!#REF!))</f>
      </c>
      <c r="C205" s="911"/>
    </row>
    <row r="206" spans="1:3" ht="7.5" customHeight="1" hidden="1">
      <c r="A206" s="910"/>
      <c r="B206" s="911"/>
      <c r="C206" s="911"/>
    </row>
    <row r="207" spans="1:3" ht="7.5" customHeight="1" hidden="1">
      <c r="A207" s="910">
        <v>9</v>
      </c>
      <c r="B207" s="911">
        <f>IF('Cronograma Físico Financeiro'!$AX$19=0,"",CONCATENATE("Executado ",('Cronograma Físico Financeiro'!#REF!+'Cronograma Físico Financeiro'!#REF!+'Cronograma Físico Financeiro'!#REF!+'Cronograma Físico Financeiro'!#REF!+'Cronograma Físico Financeiro'!#REF!)*100,"% de ",'Cronograma Físico Financeiro'!#REF!))</f>
      </c>
      <c r="C207" s="911"/>
    </row>
    <row r="208" spans="1:3" ht="7.5" customHeight="1" hidden="1">
      <c r="A208" s="910"/>
      <c r="B208" s="911"/>
      <c r="C208" s="911"/>
    </row>
    <row r="209" spans="1:3" ht="7.5" customHeight="1" hidden="1">
      <c r="A209" s="910">
        <v>10</v>
      </c>
      <c r="B209" s="911">
        <f>IF('Cronograma Físico Financeiro'!$AX$19=0,"",CONCATENATE("Executado ",('Cronograma Físico Financeiro'!#REF!+'Cronograma Físico Financeiro'!#REF!+'Cronograma Físico Financeiro'!#REF!+'Cronograma Físico Financeiro'!#REF!+'Cronograma Físico Financeiro'!#REF!)*100,"% de ",'Cronograma Físico Financeiro'!#REF!))</f>
      </c>
      <c r="C209" s="911"/>
    </row>
    <row r="210" spans="1:3" ht="7.5" customHeight="1" hidden="1">
      <c r="A210" s="910"/>
      <c r="B210" s="911"/>
      <c r="C210" s="911"/>
    </row>
    <row r="211" spans="1:3" ht="7.5" customHeight="1" hidden="1">
      <c r="A211" s="910">
        <v>11</v>
      </c>
      <c r="B211" s="911">
        <f>IF('Cronograma Físico Financeiro'!$AX$19=0,"",CONCATENATE("Executado ",('Cronograma Físico Financeiro'!#REF!+'Cronograma Físico Financeiro'!#REF!+'Cronograma Físico Financeiro'!#REF!+'Cronograma Físico Financeiro'!#REF!+'Cronograma Físico Financeiro'!#REF!)*100,"% de ",'Cronograma Físico Financeiro'!#REF!))</f>
      </c>
      <c r="C211" s="911"/>
    </row>
    <row r="212" spans="1:3" ht="7.5" customHeight="1" hidden="1">
      <c r="A212" s="910"/>
      <c r="B212" s="911"/>
      <c r="C212" s="911"/>
    </row>
    <row r="213" spans="1:3" ht="7.5" customHeight="1" hidden="1">
      <c r="A213" s="910">
        <v>12</v>
      </c>
      <c r="B213" s="911">
        <f>IF('Cronograma Físico Financeiro'!$AX$19=0,"",CONCATENATE("Executado ",('Cronograma Físico Financeiro'!#REF!+'Cronograma Físico Financeiro'!#REF!+'Cronograma Físico Financeiro'!#REF!+'Cronograma Físico Financeiro'!#REF!+'Cronograma Físico Financeiro'!#REF!)*100,"% de ",'Cronograma Físico Financeiro'!#REF!))</f>
      </c>
      <c r="C213" s="911"/>
    </row>
    <row r="214" spans="1:3" ht="7.5" customHeight="1" hidden="1">
      <c r="A214" s="910"/>
      <c r="B214" s="911"/>
      <c r="C214" s="911"/>
    </row>
    <row r="215" spans="1:3" ht="7.5" customHeight="1" hidden="1">
      <c r="A215" s="910">
        <v>13</v>
      </c>
      <c r="B215" s="911">
        <f>IF('Cronograma Físico Financeiro'!$AX$19=0,"",CONCATENATE("Executado ",('Cronograma Físico Financeiro'!#REF!+'Cronograma Físico Financeiro'!#REF!+'Cronograma Físico Financeiro'!#REF!+'Cronograma Físico Financeiro'!#REF!+'Cronograma Físico Financeiro'!#REF!)*100,"% de ",'Cronograma Físico Financeiro'!#REF!))</f>
      </c>
      <c r="C215" s="911"/>
    </row>
    <row r="216" spans="1:3" ht="7.5" customHeight="1" hidden="1">
      <c r="A216" s="910"/>
      <c r="B216" s="911"/>
      <c r="C216" s="911"/>
    </row>
    <row r="217" spans="1:3" ht="7.5" customHeight="1" hidden="1">
      <c r="A217" s="910">
        <v>14</v>
      </c>
      <c r="B217" s="911">
        <f>IF('Cronograma Físico Financeiro'!$AX$19=0,"",CONCATENATE("Executado ",('Cronograma Físico Financeiro'!#REF!+'Cronograma Físico Financeiro'!#REF!+'Cronograma Físico Financeiro'!#REF!+'Cronograma Físico Financeiro'!#REF!+'Cronograma Físico Financeiro'!#REF!)*100,"% de ",'Cronograma Físico Financeiro'!#REF!))</f>
      </c>
      <c r="C217" s="911"/>
    </row>
    <row r="218" spans="1:3" ht="7.5" customHeight="1" hidden="1">
      <c r="A218" s="910"/>
      <c r="B218" s="911"/>
      <c r="C218" s="911"/>
    </row>
    <row r="219" spans="1:3" ht="7.5" customHeight="1" hidden="1">
      <c r="A219" s="910">
        <v>15</v>
      </c>
      <c r="B219" s="911">
        <f>IF('Cronograma Físico Financeiro'!$AX$19=0,"",CONCATENATE("Executado ",('Cronograma Físico Financeiro'!#REF!+'Cronograma Físico Financeiro'!#REF!+'Cronograma Físico Financeiro'!#REF!+'Cronograma Físico Financeiro'!#REF!+'Cronograma Físico Financeiro'!#REF!)*100,"% de ",'Cronograma Físico Financeiro'!#REF!))</f>
      </c>
      <c r="C219" s="911"/>
    </row>
    <row r="220" spans="1:3" ht="7.5" customHeight="1" hidden="1">
      <c r="A220" s="910"/>
      <c r="B220" s="911"/>
      <c r="C220" s="911"/>
    </row>
    <row r="221" spans="1:3" ht="7.5" customHeight="1" hidden="1">
      <c r="A221" s="910">
        <v>16</v>
      </c>
      <c r="B221" s="911">
        <f>IF('Cronograma Físico Financeiro'!$AX$19=0,"",CONCATENATE("Executado ",('Cronograma Físico Financeiro'!#REF!+'Cronograma Físico Financeiro'!#REF!+'Cronograma Físico Financeiro'!#REF!+'Cronograma Físico Financeiro'!#REF!+'Cronograma Físico Financeiro'!#REF!)*100,"% de ",'Cronograma Físico Financeiro'!#REF!))</f>
      </c>
      <c r="C221" s="911"/>
    </row>
    <row r="222" spans="1:3" ht="7.5" customHeight="1" hidden="1">
      <c r="A222" s="910"/>
      <c r="B222" s="911"/>
      <c r="C222" s="911"/>
    </row>
    <row r="223" spans="1:3" ht="7.5" customHeight="1" hidden="1">
      <c r="A223" s="910">
        <v>17</v>
      </c>
      <c r="B223" s="911">
        <f>IF('Cronograma Físico Financeiro'!$AX$19=0,"",CONCATENATE("Executado ",('Cronograma Físico Financeiro'!#REF!+'Cronograma Físico Financeiro'!#REF!+'Cronograma Físico Financeiro'!#REF!+'Cronograma Físico Financeiro'!#REF!+'Cronograma Físico Financeiro'!#REF!)*100,"% de ",'Cronograma Físico Financeiro'!#REF!))</f>
      </c>
      <c r="C223" s="911"/>
    </row>
    <row r="224" spans="1:3" ht="7.5" customHeight="1" hidden="1">
      <c r="A224" s="910"/>
      <c r="B224" s="911"/>
      <c r="C224" s="911"/>
    </row>
    <row r="225" spans="1:3" ht="7.5" customHeight="1" hidden="1">
      <c r="A225" s="910">
        <v>18</v>
      </c>
      <c r="B225" s="911">
        <f>IF('Cronograma Físico Financeiro'!$AX$19=0,"",CONCATENATE("Executado ",('Cronograma Físico Financeiro'!#REF!+'Cronograma Físico Financeiro'!#REF!+'Cronograma Físico Financeiro'!#REF!+'Cronograma Físico Financeiro'!#REF!+'Cronograma Físico Financeiro'!#REF!)*100,"% de ",'Cronograma Físico Financeiro'!#REF!))</f>
      </c>
      <c r="C225" s="911"/>
    </row>
    <row r="226" spans="1:3" ht="7.5" customHeight="1" hidden="1">
      <c r="A226" s="910"/>
      <c r="B226" s="911"/>
      <c r="C226" s="911"/>
    </row>
    <row r="227" spans="1:3" ht="7.5" customHeight="1" hidden="1">
      <c r="A227" s="910">
        <v>19</v>
      </c>
      <c r="B227" s="911">
        <f>IF('Cronograma Físico Financeiro'!$AX$19=0,"",CONCATENATE("Executado ",('Cronograma Físico Financeiro'!#REF!+'Cronograma Físico Financeiro'!#REF!+'Cronograma Físico Financeiro'!#REF!+'Cronograma Físico Financeiro'!#REF!+'Cronograma Físico Financeiro'!#REF!)*100,"% de ",'Cronograma Físico Financeiro'!#REF!))</f>
      </c>
      <c r="C227" s="911"/>
    </row>
    <row r="228" spans="1:3" ht="7.5" customHeight="1" hidden="1">
      <c r="A228" s="910"/>
      <c r="B228" s="911"/>
      <c r="C228" s="911"/>
    </row>
    <row r="229" spans="1:3" ht="7.5" customHeight="1" hidden="1">
      <c r="A229" s="910">
        <v>20</v>
      </c>
      <c r="B229" s="911">
        <f>IF('Cronograma Físico Financeiro'!$AX$19=0,"",CONCATENATE("Executado ",('Cronograma Físico Financeiro'!#REF!+'Cronograma Físico Financeiro'!#REF!+'Cronograma Físico Financeiro'!#REF!+'Cronograma Físico Financeiro'!#REF!+'Cronograma Físico Financeiro'!#REF!)*100,"% de ",'Cronograma Físico Financeiro'!#REF!))</f>
      </c>
      <c r="C229" s="911"/>
    </row>
    <row r="230" spans="1:3" ht="7.5" customHeight="1" hidden="1">
      <c r="A230" s="910"/>
      <c r="B230" s="911"/>
      <c r="C230" s="911"/>
    </row>
    <row r="231" spans="1:3" ht="7.5" customHeight="1" hidden="1">
      <c r="A231" s="910">
        <v>21</v>
      </c>
      <c r="B231" s="911">
        <f>IF('Cronograma Físico Financeiro'!$AX$19=0,"",CONCATENATE("Executado ",('Cronograma Físico Financeiro'!#REF!+'Cronograma Físico Financeiro'!#REF!+'Cronograma Físico Financeiro'!#REF!+'Cronograma Físico Financeiro'!#REF!+'Cronograma Físico Financeiro'!#REF!)*100,"% de ",'Cronograma Físico Financeiro'!#REF!))</f>
      </c>
      <c r="C231" s="911"/>
    </row>
    <row r="232" spans="1:3" ht="7.5" customHeight="1" hidden="1">
      <c r="A232" s="910"/>
      <c r="B232" s="911"/>
      <c r="C232" s="911"/>
    </row>
    <row r="233" spans="1:3" ht="7.5" customHeight="1" hidden="1">
      <c r="A233" s="910">
        <v>22</v>
      </c>
      <c r="B233" s="911">
        <f>IF('Cronograma Físico Financeiro'!$AX$19=0,"",CONCATENATE("Executado ",('Cronograma Físico Financeiro'!#REF!+'Cronograma Físico Financeiro'!#REF!+'Cronograma Físico Financeiro'!#REF!+'Cronograma Físico Financeiro'!#REF!+'Cronograma Físico Financeiro'!#REF!)*100,"% de ",'Cronograma Físico Financeiro'!#REF!))</f>
      </c>
      <c r="C233" s="911"/>
    </row>
    <row r="234" spans="1:3" ht="7.5" customHeight="1" hidden="1">
      <c r="A234" s="910"/>
      <c r="B234" s="911"/>
      <c r="C234" s="911"/>
    </row>
    <row r="235" spans="1:3" ht="7.5" customHeight="1" hidden="1">
      <c r="A235" s="910">
        <v>26</v>
      </c>
      <c r="B235" s="911">
        <f>IF('Cronograma Físico Financeiro'!$AX$19=0,"",CONCATENATE("Executado ",('Cronograma Físico Financeiro'!#REF!+'Cronograma Físico Financeiro'!#REF!+'Cronograma Físico Financeiro'!#REF!+'Cronograma Físico Financeiro'!#REF!+'Cronograma Físico Financeiro'!#REF!)*100,"% de ",'Cronograma Físico Financeiro'!#REF!))</f>
      </c>
      <c r="C235" s="911"/>
    </row>
    <row r="236" spans="1:3" ht="7.5" customHeight="1" hidden="1">
      <c r="A236" s="910"/>
      <c r="B236" s="911"/>
      <c r="C236" s="911"/>
    </row>
    <row r="237" spans="1:3" ht="7.5" customHeight="1" hidden="1">
      <c r="A237" s="910">
        <v>28</v>
      </c>
      <c r="B237" s="911">
        <f>IF('Cronograma Físico Financeiro'!$AX$19=0,"",CONCATENATE("Executado ",('Cronograma Físico Financeiro'!#REF!+'Cronograma Físico Financeiro'!#REF!+'Cronograma Físico Financeiro'!#REF!+'Cronograma Físico Financeiro'!#REF!+'Cronograma Físico Financeiro'!#REF!)*100,"% de ",'Cronograma Físico Financeiro'!#REF!))</f>
      </c>
      <c r="C237" s="911"/>
    </row>
    <row r="238" spans="1:3" ht="7.5" customHeight="1" hidden="1">
      <c r="A238" s="910"/>
      <c r="B238" s="911"/>
      <c r="C238" s="911"/>
    </row>
    <row r="239" spans="1:3" ht="7.5" customHeight="1" hidden="1">
      <c r="A239" s="910">
        <v>29</v>
      </c>
      <c r="B239" s="911">
        <f>IF('Cronograma Físico Financeiro'!$AX$19=0,"",CONCATENATE("Executado ",('Cronograma Físico Financeiro'!#REF!+'Cronograma Físico Financeiro'!#REF!+'Cronograma Físico Financeiro'!#REF!+'Cronograma Físico Financeiro'!#REF!+'Cronograma Físico Financeiro'!#REF!)*100,"% de ",'Cronograma Físico Financeiro'!#REF!))</f>
      </c>
      <c r="C239" s="911"/>
    </row>
    <row r="240" spans="1:3" ht="7.5" customHeight="1" hidden="1">
      <c r="A240" s="910"/>
      <c r="B240" s="911"/>
      <c r="C240" s="911"/>
    </row>
    <row r="241" spans="1:3" ht="7.5" customHeight="1" hidden="1">
      <c r="A241" s="910">
        <v>30</v>
      </c>
      <c r="B241" s="911">
        <f>IF('Cronograma Físico Financeiro'!$AX$19=0,"",CONCATENATE("Executado ",('Cronograma Físico Financeiro'!#REF!+'Cronograma Físico Financeiro'!#REF!+'Cronograma Físico Financeiro'!#REF!+'Cronograma Físico Financeiro'!#REF!+'Cronograma Físico Financeiro'!#REF!)*100,"% de ",'Cronograma Físico Financeiro'!#REF!))</f>
      </c>
      <c r="C241" s="911"/>
    </row>
    <row r="242" spans="1:3" ht="7.5" customHeight="1" hidden="1">
      <c r="A242" s="910"/>
      <c r="B242" s="911"/>
      <c r="C242" s="911"/>
    </row>
    <row r="243" ht="15" hidden="1"/>
    <row r="244" spans="1:3" ht="15" hidden="1">
      <c r="A244" s="916" t="s">
        <v>105</v>
      </c>
      <c r="B244" s="916"/>
      <c r="C244" s="916"/>
    </row>
    <row r="245" spans="1:3" ht="15" hidden="1">
      <c r="A245" s="57"/>
      <c r="B245" s="57"/>
      <c r="C245" s="57"/>
    </row>
    <row r="246" spans="1:3" ht="15" hidden="1">
      <c r="A246" s="917" t="e">
        <f>'Cronograma Físico Financeiro'!AX33</f>
        <v>#REF!</v>
      </c>
      <c r="B246" s="917"/>
      <c r="C246" s="917"/>
    </row>
    <row r="247" spans="1:3" ht="7.5" customHeight="1" hidden="1">
      <c r="A247" s="76"/>
      <c r="B247" s="76"/>
      <c r="C247" s="76"/>
    </row>
    <row r="248" spans="1:3" ht="15" hidden="1">
      <c r="A248" s="912" t="s">
        <v>106</v>
      </c>
      <c r="B248" s="913"/>
      <c r="C248" s="913"/>
    </row>
    <row r="249" spans="1:3" ht="7.5" customHeight="1" hidden="1">
      <c r="A249" s="77"/>
      <c r="B249" s="77"/>
      <c r="C249" s="77"/>
    </row>
    <row r="250" spans="1:3" ht="15" hidden="1">
      <c r="A250" s="913" t="s">
        <v>18</v>
      </c>
      <c r="B250" s="913"/>
      <c r="C250" s="913"/>
    </row>
    <row r="251" spans="1:3" ht="7.5" customHeight="1" hidden="1">
      <c r="A251" s="77"/>
      <c r="B251" s="77"/>
      <c r="C251" s="77"/>
    </row>
    <row r="252" spans="1:3" ht="7.5" customHeight="1" hidden="1">
      <c r="A252" s="910">
        <v>1</v>
      </c>
      <c r="B252" s="911">
        <f>IF('Cronograma Físico Financeiro'!$AX$17=0,"",CONCATENATE("Executado ",('Cronograma Físico Financeiro'!$I$17+'Cronograma Físico Financeiro'!$N$17+'Cronograma Físico Financeiro'!$W$17+'Cronograma Físico Financeiro'!$AF$17+'Cronograma Físico Financeiro'!$AO$17+'Cronograma Físico Financeiro'!$AX$17)*100,"% de ",'Cronograma Físico Financeiro'!$B$17))</f>
      </c>
      <c r="C252" s="911"/>
    </row>
    <row r="253" spans="1:3" ht="7.5" customHeight="1" hidden="1">
      <c r="A253" s="910"/>
      <c r="B253" s="911"/>
      <c r="C253" s="911"/>
    </row>
    <row r="254" spans="1:3" ht="7.5" customHeight="1" hidden="1">
      <c r="A254" s="910">
        <v>2</v>
      </c>
      <c r="B254" s="911">
        <f>IF('Cronograma Físico Financeiro'!$AX$19=0,"",CONCATENATE("Executado ",('Cronograma Físico Financeiro'!$I$19+'Cronograma Físico Financeiro'!$N$19+'Cronograma Físico Financeiro'!$W$19+'Cronograma Físico Financeiro'!$AF$19+'Cronograma Físico Financeiro'!$AO$19+'Cronograma Físico Financeiro'!$AX$19)*100,"% de ",'Cronograma Físico Financeiro'!$B$19))</f>
      </c>
      <c r="C254" s="911"/>
    </row>
    <row r="255" spans="1:3" ht="7.5" customHeight="1" hidden="1">
      <c r="A255" s="910"/>
      <c r="B255" s="911"/>
      <c r="C255" s="911"/>
    </row>
    <row r="256" spans="1:3" ht="7.5" customHeight="1" hidden="1">
      <c r="A256" s="910">
        <v>3</v>
      </c>
      <c r="B256" s="911">
        <f>IF('Cronograma Físico Financeiro'!$AX$19=0,"",CONCATENATE("Executado ",('Cronograma Físico Financeiro'!$I$21+'Cronograma Físico Financeiro'!$N$21+'Cronograma Físico Financeiro'!$W$80+'Cronograma Físico Financeiro'!$AF$21+'Cronograma Físico Financeiro'!$AO$21+'Cronograma Físico Financeiro'!$AX$21)*100,"% de ",'Cronograma Físico Financeiro'!$B$21))</f>
      </c>
      <c r="C256" s="911"/>
    </row>
    <row r="257" spans="1:3" ht="7.5" customHeight="1" hidden="1">
      <c r="A257" s="910"/>
      <c r="B257" s="911"/>
      <c r="C257" s="911"/>
    </row>
    <row r="258" spans="1:3" ht="7.5" customHeight="1" hidden="1">
      <c r="A258" s="910">
        <v>4</v>
      </c>
      <c r="B258" s="911">
        <f>IF('Cronograma Físico Financeiro'!$AX$19=0,"",CONCATENATE("Executado ",('Cronograma Físico Financeiro'!$I$23+'Cronograma Físico Financeiro'!$N$23+'Cronograma Físico Financeiro'!$W$23+'Cronograma Físico Financeiro'!$AF$23+'Cronograma Físico Financeiro'!$AO$21+'Cronograma Físico Financeiro'!$AX$21)*100,"% de ",'Cronograma Físico Financeiro'!$B$23))</f>
      </c>
      <c r="C258" s="911"/>
    </row>
    <row r="259" spans="1:3" ht="7.5" customHeight="1" hidden="1">
      <c r="A259" s="910"/>
      <c r="B259" s="911"/>
      <c r="C259" s="911"/>
    </row>
    <row r="260" spans="1:3" ht="7.5" customHeight="1" hidden="1">
      <c r="A260" s="910">
        <v>5</v>
      </c>
      <c r="B260" s="911">
        <f>IF('Cronograma Físico Financeiro'!$AX$17=0,"",CONCATENATE("Executado ",('Cronograma Físico Financeiro'!$I$25+'Cronograma Físico Financeiro'!$N$25+'Cronograma Físico Financeiro'!$W$25+'Cronograma Físico Financeiro'!$AF$25+'Cronograma Físico Financeiro'!$AO$114+'Cronograma Físico Financeiro'!$AX$21)*100,"% de ",'Cronograma Físico Financeiro'!$B$25))</f>
      </c>
      <c r="C260" s="911"/>
    </row>
    <row r="261" spans="1:3" ht="7.5" customHeight="1" hidden="1">
      <c r="A261" s="910"/>
      <c r="B261" s="911"/>
      <c r="C261" s="911"/>
    </row>
    <row r="262" spans="1:3" ht="7.5" customHeight="1" hidden="1">
      <c r="A262" s="910">
        <v>6</v>
      </c>
      <c r="B262" s="911">
        <f>IF('Cronograma Físico Financeiro'!$AX$19=0,"",CONCATENATE("Executado ",('Cronograma Físico Financeiro'!$I$27+'Cronograma Físico Financeiro'!$N$27+'Cronograma Físico Financeiro'!$W$27+'Cronograma Físico Financeiro'!$AF$27+'Cronograma Físico Financeiro'!$AO$21+'Cronograma Físico Financeiro'!$AX$21)*100,"% de ",'Cronograma Físico Financeiro'!$B$27))</f>
      </c>
      <c r="C262" s="911"/>
    </row>
    <row r="263" spans="1:3" ht="7.5" customHeight="1" hidden="1">
      <c r="A263" s="910"/>
      <c r="B263" s="911"/>
      <c r="C263" s="911"/>
    </row>
    <row r="264" spans="1:3" ht="7.5" customHeight="1" hidden="1">
      <c r="A264" s="910">
        <v>7</v>
      </c>
      <c r="B264" s="911">
        <f>IF('Cronograma Físico Financeiro'!$AX$19=0,"",CONCATENATE("Executado ",('Cronograma Físico Financeiro'!$I$29+'Cronograma Físico Financeiro'!$N$29+'Cronograma Físico Financeiro'!$W$29+'Cronograma Físico Financeiro'!$AF$29+'Cronograma Físico Financeiro'!$AO$29+'Cronograma Físico Financeiro'!$AX$29)*100,"% de ",'Cronograma Físico Financeiro'!$B$29))</f>
      </c>
      <c r="C264" s="911"/>
    </row>
    <row r="265" spans="1:3" ht="7.5" customHeight="1" hidden="1">
      <c r="A265" s="910"/>
      <c r="B265" s="911"/>
      <c r="C265" s="911"/>
    </row>
    <row r="266" spans="1:3" ht="7.5" customHeight="1" hidden="1">
      <c r="A266" s="910">
        <v>8</v>
      </c>
      <c r="B266" s="911">
        <f>IF('Cronograma Físico Financeiro'!$AX$19=0,"",CONCATENATE("Executado ",('Cronograma Físico Financeiro'!#REF!+'Cronograma Físico Financeiro'!#REF!+'Cronograma Físico Financeiro'!#REF!+'Cronograma Físico Financeiro'!#REF!+'Cronograma Físico Financeiro'!#REF!+'Cronograma Físico Financeiro'!#REF!)*100,"% de ",'Cronograma Físico Financeiro'!#REF!))</f>
      </c>
      <c r="C266" s="911"/>
    </row>
    <row r="267" spans="1:3" ht="7.5" customHeight="1" hidden="1">
      <c r="A267" s="910"/>
      <c r="B267" s="911"/>
      <c r="C267" s="911"/>
    </row>
    <row r="268" spans="1:3" ht="7.5" customHeight="1" hidden="1">
      <c r="A268" s="910">
        <v>9</v>
      </c>
      <c r="B268" s="911">
        <f>IF('Cronograma Físico Financeiro'!$AX$19=0,"",CONCATENATE("Executado ",('Cronograma Físico Financeiro'!#REF!+'Cronograma Físico Financeiro'!#REF!+'Cronograma Físico Financeiro'!#REF!+'Cronograma Físico Financeiro'!#REF!+'Cronograma Físico Financeiro'!#REF!+'Cronograma Físico Financeiro'!#REF!)*100,"% de ",'Cronograma Físico Financeiro'!#REF!))</f>
      </c>
      <c r="C268" s="911"/>
    </row>
    <row r="269" spans="1:3" ht="7.5" customHeight="1" hidden="1">
      <c r="A269" s="910"/>
      <c r="B269" s="911"/>
      <c r="C269" s="911"/>
    </row>
    <row r="270" spans="1:3" ht="7.5" customHeight="1" hidden="1">
      <c r="A270" s="910">
        <v>10</v>
      </c>
      <c r="B270" s="911">
        <f>IF('Cronograma Físico Financeiro'!$AX$19=0,"",CONCATENATE("Executado ",('Cronograma Físico Financeiro'!#REF!+'Cronograma Físico Financeiro'!#REF!+'Cronograma Físico Financeiro'!#REF!+'Cronograma Físico Financeiro'!#REF!+'Cronograma Físico Financeiro'!#REF!+'Cronograma Físico Financeiro'!#REF!)*100,"% de ",'Cronograma Físico Financeiro'!#REF!))</f>
      </c>
      <c r="C270" s="911"/>
    </row>
    <row r="271" spans="1:3" ht="7.5" customHeight="1" hidden="1">
      <c r="A271" s="910"/>
      <c r="B271" s="911"/>
      <c r="C271" s="911"/>
    </row>
    <row r="272" spans="1:3" ht="7.5" customHeight="1" hidden="1">
      <c r="A272" s="910">
        <v>11</v>
      </c>
      <c r="B272" s="911">
        <f>IF('Cronograma Físico Financeiro'!$AX$19=0,"",CONCATENATE("Executado ",('Cronograma Físico Financeiro'!#REF!+'Cronograma Físico Financeiro'!#REF!+'Cronograma Físico Financeiro'!#REF!+'Cronograma Físico Financeiro'!#REF!+'Cronograma Físico Financeiro'!#REF!+'Cronograma Físico Financeiro'!#REF!)*100,"% de ",'Cronograma Físico Financeiro'!#REF!))</f>
      </c>
      <c r="C272" s="911"/>
    </row>
    <row r="273" spans="1:3" ht="7.5" customHeight="1" hidden="1">
      <c r="A273" s="910"/>
      <c r="B273" s="911"/>
      <c r="C273" s="911"/>
    </row>
    <row r="274" spans="1:3" ht="7.5" customHeight="1" hidden="1">
      <c r="A274" s="910">
        <v>12</v>
      </c>
      <c r="B274" s="911">
        <f>IF('Cronograma Físico Financeiro'!$AX$19=0,"",CONCATENATE("Executado ",('Cronograma Físico Financeiro'!#REF!+'Cronograma Físico Financeiro'!#REF!+'Cronograma Físico Financeiro'!#REF!+'Cronograma Físico Financeiro'!#REF!+'Cronograma Físico Financeiro'!#REF!+'Cronograma Físico Financeiro'!#REF!)*100,"% de ",'Cronograma Físico Financeiro'!#REF!))</f>
      </c>
      <c r="C274" s="911"/>
    </row>
    <row r="275" spans="1:3" ht="7.5" customHeight="1" hidden="1">
      <c r="A275" s="910"/>
      <c r="B275" s="911"/>
      <c r="C275" s="911"/>
    </row>
    <row r="276" spans="1:3" ht="7.5" customHeight="1" hidden="1">
      <c r="A276" s="910">
        <v>13</v>
      </c>
      <c r="B276" s="911">
        <f>IF('Cronograma Físico Financeiro'!$AX$19=0,"",CONCATENATE("Executado ",('Cronograma Físico Financeiro'!#REF!+'Cronograma Físico Financeiro'!#REF!+'Cronograma Físico Financeiro'!#REF!+'Cronograma Físico Financeiro'!#REF!+'Cronograma Físico Financeiro'!#REF!+'Cronograma Físico Financeiro'!#REF!)*100,"% de ",'Cronograma Físico Financeiro'!#REF!))</f>
      </c>
      <c r="C276" s="911"/>
    </row>
    <row r="277" spans="1:3" ht="7.5" customHeight="1" hidden="1">
      <c r="A277" s="910"/>
      <c r="B277" s="911"/>
      <c r="C277" s="911"/>
    </row>
    <row r="278" spans="1:3" ht="7.5" customHeight="1" hidden="1">
      <c r="A278" s="910">
        <v>14</v>
      </c>
      <c r="B278" s="911">
        <f>IF('Cronograma Físico Financeiro'!$AX$19=0,"",CONCATENATE("Executado ",('Cronograma Físico Financeiro'!#REF!+'Cronograma Físico Financeiro'!#REF!+'Cronograma Físico Financeiro'!#REF!+'Cronograma Físico Financeiro'!#REF!+'Cronograma Físico Financeiro'!#REF!+'Cronograma Físico Financeiro'!#REF!)*100,"% de ",'Cronograma Físico Financeiro'!#REF!))</f>
      </c>
      <c r="C278" s="911"/>
    </row>
    <row r="279" spans="1:3" ht="7.5" customHeight="1" hidden="1">
      <c r="A279" s="910"/>
      <c r="B279" s="911"/>
      <c r="C279" s="911"/>
    </row>
    <row r="280" spans="1:3" ht="7.5" customHeight="1" hidden="1">
      <c r="A280" s="910">
        <v>15</v>
      </c>
      <c r="B280" s="911">
        <f>IF('Cronograma Físico Financeiro'!$AX$19=0,"",CONCATENATE("Executado ",('Cronograma Físico Financeiro'!#REF!+'Cronograma Físico Financeiro'!#REF!+'Cronograma Físico Financeiro'!#REF!+'Cronograma Físico Financeiro'!#REF!+'Cronograma Físico Financeiro'!#REF!+'Cronograma Físico Financeiro'!#REF!)*100,"% de ",'Cronograma Físico Financeiro'!#REF!))</f>
      </c>
      <c r="C280" s="911"/>
    </row>
    <row r="281" spans="1:3" ht="7.5" customHeight="1" hidden="1">
      <c r="A281" s="910"/>
      <c r="B281" s="911"/>
      <c r="C281" s="911"/>
    </row>
    <row r="282" spans="1:3" ht="7.5" customHeight="1" hidden="1">
      <c r="A282" s="910">
        <v>16</v>
      </c>
      <c r="B282" s="911">
        <f>IF('Cronograma Físico Financeiro'!$AX$19=0,"",CONCATENATE("Executado ",('Cronograma Físico Financeiro'!#REF!+'Cronograma Físico Financeiro'!#REF!+'Cronograma Físico Financeiro'!#REF!+'Cronograma Físico Financeiro'!#REF!+'Cronograma Físico Financeiro'!#REF!+'Cronograma Físico Financeiro'!#REF!)*100,"% de ",'Cronograma Físico Financeiro'!#REF!))</f>
      </c>
      <c r="C282" s="911"/>
    </row>
    <row r="283" spans="1:3" ht="7.5" customHeight="1" hidden="1">
      <c r="A283" s="910"/>
      <c r="B283" s="911"/>
      <c r="C283" s="911"/>
    </row>
    <row r="284" spans="1:3" ht="7.5" customHeight="1" hidden="1">
      <c r="A284" s="910">
        <v>17</v>
      </c>
      <c r="B284" s="911">
        <f>IF('Cronograma Físico Financeiro'!$AX$19=0,"",CONCATENATE("Executado ",('Cronograma Físico Financeiro'!#REF!+'Cronograma Físico Financeiro'!#REF!+'Cronograma Físico Financeiro'!#REF!+'Cronograma Físico Financeiro'!#REF!+'Cronograma Físico Financeiro'!#REF!+'Cronograma Físico Financeiro'!#REF!)*100,"% de ",'Cronograma Físico Financeiro'!#REF!))</f>
      </c>
      <c r="C284" s="911"/>
    </row>
    <row r="285" spans="1:3" ht="7.5" customHeight="1" hidden="1">
      <c r="A285" s="910"/>
      <c r="B285" s="911"/>
      <c r="C285" s="911"/>
    </row>
    <row r="286" spans="1:3" ht="7.5" customHeight="1" hidden="1">
      <c r="A286" s="910">
        <v>18</v>
      </c>
      <c r="B286" s="911">
        <f>IF('Cronograma Físico Financeiro'!$AX$19=0,"",CONCATENATE("Executado ",('Cronograma Físico Financeiro'!#REF!+'Cronograma Físico Financeiro'!#REF!+'Cronograma Físico Financeiro'!#REF!+'Cronograma Físico Financeiro'!#REF!+'Cronograma Físico Financeiro'!#REF!+'Cronograma Físico Financeiro'!#REF!)*100,"% de ",'Cronograma Físico Financeiro'!#REF!))</f>
      </c>
      <c r="C286" s="911"/>
    </row>
    <row r="287" spans="1:3" ht="7.5" customHeight="1" hidden="1">
      <c r="A287" s="910"/>
      <c r="B287" s="911"/>
      <c r="C287" s="911"/>
    </row>
    <row r="288" spans="1:3" ht="7.5" customHeight="1" hidden="1">
      <c r="A288" s="910">
        <v>19</v>
      </c>
      <c r="B288" s="911">
        <f>IF('Cronograma Físico Financeiro'!$AX$19=0,"",CONCATENATE("Executado ",('Cronograma Físico Financeiro'!#REF!+'Cronograma Físico Financeiro'!#REF!+'Cronograma Físico Financeiro'!#REF!+'Cronograma Físico Financeiro'!#REF!+'Cronograma Físico Financeiro'!#REF!+'Cronograma Físico Financeiro'!#REF!)*100,"% de ",'Cronograma Físico Financeiro'!#REF!))</f>
      </c>
      <c r="C288" s="911"/>
    </row>
    <row r="289" spans="1:3" ht="7.5" customHeight="1" hidden="1">
      <c r="A289" s="910"/>
      <c r="B289" s="911"/>
      <c r="C289" s="911"/>
    </row>
    <row r="290" spans="1:3" ht="7.5" customHeight="1" hidden="1">
      <c r="A290" s="910">
        <v>20</v>
      </c>
      <c r="B290" s="911">
        <f>IF('Cronograma Físico Financeiro'!$AX$19=0,"",CONCATENATE("Executado ",('Cronograma Físico Financeiro'!#REF!+'Cronograma Físico Financeiro'!#REF!+'Cronograma Físico Financeiro'!#REF!+'Cronograma Físico Financeiro'!#REF!+'Cronograma Físico Financeiro'!#REF!+'Cronograma Físico Financeiro'!#REF!)*100,"% de ",'Cronograma Físico Financeiro'!#REF!))</f>
      </c>
      <c r="C290" s="911"/>
    </row>
    <row r="291" spans="1:3" ht="7.5" customHeight="1" hidden="1">
      <c r="A291" s="910"/>
      <c r="B291" s="911"/>
      <c r="C291" s="911"/>
    </row>
    <row r="292" spans="1:3" ht="7.5" customHeight="1" hidden="1">
      <c r="A292" s="910">
        <v>21</v>
      </c>
      <c r="B292" s="911">
        <f>IF('Cronograma Físico Financeiro'!$AX$19=0,"",CONCATENATE("Executado ",('Cronograma Físico Financeiro'!#REF!+'Cronograma Físico Financeiro'!#REF!+'Cronograma Físico Financeiro'!#REF!+'Cronograma Físico Financeiro'!#REF!+'Cronograma Físico Financeiro'!#REF!+'Cronograma Físico Financeiro'!#REF!)*100,"% de ",'Cronograma Físico Financeiro'!#REF!))</f>
      </c>
      <c r="C292" s="911"/>
    </row>
    <row r="293" spans="1:3" ht="7.5" customHeight="1" hidden="1">
      <c r="A293" s="910"/>
      <c r="B293" s="911"/>
      <c r="C293" s="911"/>
    </row>
    <row r="294" spans="1:3" ht="7.5" customHeight="1" hidden="1">
      <c r="A294" s="910">
        <v>22</v>
      </c>
      <c r="B294" s="911">
        <f>IF('Cronograma Físico Financeiro'!$AX$19=0,"",CONCATENATE("Executado ",('Cronograma Físico Financeiro'!#REF!+'Cronograma Físico Financeiro'!#REF!+'Cronograma Físico Financeiro'!#REF!+'Cronograma Físico Financeiro'!#REF!+'Cronograma Físico Financeiro'!#REF!+'Cronograma Físico Financeiro'!#REF!)*100,"% de ",'Cronograma Físico Financeiro'!#REF!))</f>
      </c>
      <c r="C294" s="911"/>
    </row>
    <row r="295" spans="1:3" ht="7.5" customHeight="1" hidden="1">
      <c r="A295" s="910"/>
      <c r="B295" s="911"/>
      <c r="C295" s="911"/>
    </row>
    <row r="296" spans="1:3" ht="7.5" customHeight="1" hidden="1">
      <c r="A296" s="910">
        <v>26</v>
      </c>
      <c r="B296" s="911">
        <f>IF('Cronograma Físico Financeiro'!$AX$19=0,"",CONCATENATE("Executado ",('Cronograma Físico Financeiro'!#REF!+'Cronograma Físico Financeiro'!#REF!+'Cronograma Físico Financeiro'!#REF!+'Cronograma Físico Financeiro'!#REF!+'Cronograma Físico Financeiro'!#REF!+'Cronograma Físico Financeiro'!#REF!)*100,"% de ",'Cronograma Físico Financeiro'!#REF!))</f>
      </c>
      <c r="C296" s="911"/>
    </row>
    <row r="297" spans="1:3" ht="7.5" customHeight="1" hidden="1">
      <c r="A297" s="910"/>
      <c r="B297" s="911"/>
      <c r="C297" s="911"/>
    </row>
    <row r="298" spans="1:3" ht="7.5" customHeight="1" hidden="1">
      <c r="A298" s="910">
        <v>28</v>
      </c>
      <c r="B298" s="911">
        <f>IF('Cronograma Físico Financeiro'!$AX$19=0,"",CONCATENATE("Executado ",('Cronograma Físico Financeiro'!#REF!+'Cronograma Físico Financeiro'!#REF!+'Cronograma Físico Financeiro'!#REF!+'Cronograma Físico Financeiro'!#REF!+'Cronograma Físico Financeiro'!#REF!+'Cronograma Físico Financeiro'!#REF!)*100,"% de ",'Cronograma Físico Financeiro'!#REF!))</f>
      </c>
      <c r="C298" s="911"/>
    </row>
    <row r="299" spans="1:3" ht="7.5" customHeight="1" hidden="1">
      <c r="A299" s="910"/>
      <c r="B299" s="911"/>
      <c r="C299" s="911"/>
    </row>
    <row r="300" spans="1:3" ht="7.5" customHeight="1" hidden="1">
      <c r="A300" s="910">
        <v>29</v>
      </c>
      <c r="B300" s="911">
        <f>IF('Cronograma Físico Financeiro'!$AX$19=0,"",CONCATENATE("Executado ",('Cronograma Físico Financeiro'!#REF!+'Cronograma Físico Financeiro'!#REF!+'Cronograma Físico Financeiro'!#REF!+'Cronograma Físico Financeiro'!#REF!+'Cronograma Físico Financeiro'!#REF!+'Cronograma Físico Financeiro'!#REF!)*100,"% de ",'Cronograma Físico Financeiro'!#REF!))</f>
      </c>
      <c r="C300" s="911"/>
    </row>
    <row r="301" spans="1:3" ht="7.5" customHeight="1" hidden="1">
      <c r="A301" s="910"/>
      <c r="B301" s="911"/>
      <c r="C301" s="911"/>
    </row>
    <row r="302" spans="1:3" ht="7.5" customHeight="1" hidden="1">
      <c r="A302" s="910">
        <v>30</v>
      </c>
      <c r="B302" s="911">
        <f>IF('Cronograma Físico Financeiro'!$AX$19=0,"",CONCATENATE("Executado ",('Cronograma Físico Financeiro'!#REF!+'Cronograma Físico Financeiro'!#REF!+'Cronograma Físico Financeiro'!#REF!+'Cronograma Físico Financeiro'!#REF!+'Cronograma Físico Financeiro'!#REF!+'Cronograma Físico Financeiro'!#REF!)*100,"% de ",'Cronograma Físico Financeiro'!#REF!))</f>
      </c>
      <c r="C302" s="911"/>
    </row>
    <row r="303" spans="1:3" ht="7.5" customHeight="1" hidden="1">
      <c r="A303" s="910"/>
      <c r="B303" s="911"/>
      <c r="C303" s="911"/>
    </row>
    <row r="304" spans="1:3" ht="15">
      <c r="A304" s="136" t="s">
        <v>363</v>
      </c>
      <c r="B304" s="137"/>
      <c r="C304" s="138"/>
    </row>
    <row r="305" spans="1:3" ht="15">
      <c r="A305" s="140" t="s">
        <v>3</v>
      </c>
      <c r="B305" s="141"/>
      <c r="C305" s="198" t="s">
        <v>364</v>
      </c>
    </row>
    <row r="306" spans="1:3" ht="15">
      <c r="A306" s="846" t="s">
        <v>366</v>
      </c>
      <c r="B306" s="847"/>
      <c r="C306" s="199"/>
    </row>
    <row r="307" spans="1:3" ht="15">
      <c r="A307" s="153"/>
      <c r="B307" s="154"/>
      <c r="C307" s="200"/>
    </row>
    <row r="308" spans="1:3" ht="15">
      <c r="A308" s="848" t="s">
        <v>367</v>
      </c>
      <c r="B308" s="849"/>
      <c r="C308" s="201"/>
    </row>
    <row r="309" ht="6" customHeight="1"/>
    <row r="310" spans="1:3" ht="24" customHeight="1">
      <c r="A310" s="749" t="s">
        <v>365</v>
      </c>
      <c r="B310" s="751"/>
      <c r="C310" s="198" t="s">
        <v>364</v>
      </c>
    </row>
    <row r="311" spans="1:3" ht="15">
      <c r="A311" s="202"/>
      <c r="B311" s="203"/>
      <c r="C311" s="208"/>
    </row>
    <row r="312" spans="1:3" ht="15">
      <c r="A312" s="204"/>
      <c r="B312" s="205"/>
      <c r="C312" s="209"/>
    </row>
    <row r="313" spans="1:3" ht="15">
      <c r="A313" s="206"/>
      <c r="B313" s="207"/>
      <c r="C313" s="210"/>
    </row>
  </sheetData>
  <sheetProtection/>
  <mergeCells count="265">
    <mergeCell ref="B31:C32"/>
    <mergeCell ref="A13:C13"/>
    <mergeCell ref="B44:C45"/>
    <mergeCell ref="B46:C47"/>
    <mergeCell ref="B58:C59"/>
    <mergeCell ref="A15:C15"/>
    <mergeCell ref="A36:C36"/>
    <mergeCell ref="A21:C21"/>
    <mergeCell ref="A19:C19"/>
    <mergeCell ref="A17:C17"/>
    <mergeCell ref="B33:C34"/>
    <mergeCell ref="B29:C30"/>
    <mergeCell ref="A23:A24"/>
    <mergeCell ref="A25:A26"/>
    <mergeCell ref="A27:A28"/>
    <mergeCell ref="B23:C24"/>
    <mergeCell ref="B25:C26"/>
    <mergeCell ref="A29:A30"/>
    <mergeCell ref="A31:A32"/>
    <mergeCell ref="A33:A34"/>
    <mergeCell ref="B56:C57"/>
    <mergeCell ref="A44:A45"/>
    <mergeCell ref="B50:C51"/>
    <mergeCell ref="B48:C49"/>
    <mergeCell ref="A54:A55"/>
    <mergeCell ref="A38:C38"/>
    <mergeCell ref="A40:C40"/>
    <mergeCell ref="A42:C42"/>
    <mergeCell ref="A61:C61"/>
    <mergeCell ref="A63:C63"/>
    <mergeCell ref="A58:A59"/>
    <mergeCell ref="A52:A53"/>
    <mergeCell ref="A56:A57"/>
    <mergeCell ref="A46:A47"/>
    <mergeCell ref="A48:A49"/>
    <mergeCell ref="A50:A51"/>
    <mergeCell ref="B52:C53"/>
    <mergeCell ref="B54:C55"/>
    <mergeCell ref="A65:C65"/>
    <mergeCell ref="A67:C67"/>
    <mergeCell ref="A69:A70"/>
    <mergeCell ref="B69:C70"/>
    <mergeCell ref="A71:A72"/>
    <mergeCell ref="B71:C72"/>
    <mergeCell ref="A73:A74"/>
    <mergeCell ref="B73:C74"/>
    <mergeCell ref="A75:A76"/>
    <mergeCell ref="B75:C76"/>
    <mergeCell ref="A77:A78"/>
    <mergeCell ref="B77:C78"/>
    <mergeCell ref="A79:A80"/>
    <mergeCell ref="B79:C80"/>
    <mergeCell ref="A81:A82"/>
    <mergeCell ref="B81:C82"/>
    <mergeCell ref="A83:A84"/>
    <mergeCell ref="B83:C84"/>
    <mergeCell ref="A85:A86"/>
    <mergeCell ref="B85:C86"/>
    <mergeCell ref="A87:A88"/>
    <mergeCell ref="B87:C88"/>
    <mergeCell ref="A89:A90"/>
    <mergeCell ref="B89:C90"/>
    <mergeCell ref="A91:A92"/>
    <mergeCell ref="B91:C92"/>
    <mergeCell ref="A93:A94"/>
    <mergeCell ref="B93:C94"/>
    <mergeCell ref="A95:A96"/>
    <mergeCell ref="B95:C96"/>
    <mergeCell ref="A97:A98"/>
    <mergeCell ref="B97:C98"/>
    <mergeCell ref="A99:A100"/>
    <mergeCell ref="B99:C100"/>
    <mergeCell ref="A101:A102"/>
    <mergeCell ref="B101:C102"/>
    <mergeCell ref="A103:A104"/>
    <mergeCell ref="B103:C104"/>
    <mergeCell ref="A105:A106"/>
    <mergeCell ref="B105:C106"/>
    <mergeCell ref="A107:A108"/>
    <mergeCell ref="B107:C108"/>
    <mergeCell ref="A109:A110"/>
    <mergeCell ref="B109:C110"/>
    <mergeCell ref="A111:A112"/>
    <mergeCell ref="B111:C112"/>
    <mergeCell ref="A113:A114"/>
    <mergeCell ref="B113:C114"/>
    <mergeCell ref="A115:A116"/>
    <mergeCell ref="B115:C116"/>
    <mergeCell ref="A117:A118"/>
    <mergeCell ref="B117:C118"/>
    <mergeCell ref="A119:A120"/>
    <mergeCell ref="B119:C120"/>
    <mergeCell ref="A122:C122"/>
    <mergeCell ref="A124:C124"/>
    <mergeCell ref="A126:C126"/>
    <mergeCell ref="A128:C128"/>
    <mergeCell ref="A130:A131"/>
    <mergeCell ref="B130:C131"/>
    <mergeCell ref="A132:A133"/>
    <mergeCell ref="B132:C133"/>
    <mergeCell ref="A134:A135"/>
    <mergeCell ref="B134:C135"/>
    <mergeCell ref="A136:A137"/>
    <mergeCell ref="B136:C137"/>
    <mergeCell ref="A138:A139"/>
    <mergeCell ref="B138:C139"/>
    <mergeCell ref="A140:A141"/>
    <mergeCell ref="B140:C141"/>
    <mergeCell ref="A142:A143"/>
    <mergeCell ref="B142:C143"/>
    <mergeCell ref="A144:A145"/>
    <mergeCell ref="B144:C145"/>
    <mergeCell ref="A146:A147"/>
    <mergeCell ref="B146:C147"/>
    <mergeCell ref="A148:A149"/>
    <mergeCell ref="B148:C149"/>
    <mergeCell ref="A150:A151"/>
    <mergeCell ref="B150:C151"/>
    <mergeCell ref="A152:A153"/>
    <mergeCell ref="B152:C153"/>
    <mergeCell ref="A154:A155"/>
    <mergeCell ref="B154:C155"/>
    <mergeCell ref="A156:A157"/>
    <mergeCell ref="B156:C157"/>
    <mergeCell ref="A158:A159"/>
    <mergeCell ref="B158:C159"/>
    <mergeCell ref="A160:A161"/>
    <mergeCell ref="B160:C161"/>
    <mergeCell ref="A162:A163"/>
    <mergeCell ref="B162:C163"/>
    <mergeCell ref="A164:A165"/>
    <mergeCell ref="B164:C165"/>
    <mergeCell ref="A166:A167"/>
    <mergeCell ref="B166:C167"/>
    <mergeCell ref="A168:A169"/>
    <mergeCell ref="B168:C169"/>
    <mergeCell ref="A170:A171"/>
    <mergeCell ref="B170:C171"/>
    <mergeCell ref="A172:A173"/>
    <mergeCell ref="B172:C173"/>
    <mergeCell ref="A174:A175"/>
    <mergeCell ref="B174:C175"/>
    <mergeCell ref="A176:A177"/>
    <mergeCell ref="B176:C177"/>
    <mergeCell ref="A178:A179"/>
    <mergeCell ref="B178:C179"/>
    <mergeCell ref="A180:A181"/>
    <mergeCell ref="B180:C181"/>
    <mergeCell ref="A183:C183"/>
    <mergeCell ref="A185:C185"/>
    <mergeCell ref="A187:C187"/>
    <mergeCell ref="A189:C189"/>
    <mergeCell ref="A191:A192"/>
    <mergeCell ref="B191:C192"/>
    <mergeCell ref="A193:A194"/>
    <mergeCell ref="B193:C194"/>
    <mergeCell ref="A195:A196"/>
    <mergeCell ref="B195:C196"/>
    <mergeCell ref="A197:A198"/>
    <mergeCell ref="B197:C198"/>
    <mergeCell ref="A199:A200"/>
    <mergeCell ref="B199:C200"/>
    <mergeCell ref="A201:A202"/>
    <mergeCell ref="B201:C202"/>
    <mergeCell ref="A203:A204"/>
    <mergeCell ref="B203:C204"/>
    <mergeCell ref="A205:A206"/>
    <mergeCell ref="B205:C206"/>
    <mergeCell ref="A207:A208"/>
    <mergeCell ref="B207:C208"/>
    <mergeCell ref="A209:A210"/>
    <mergeCell ref="B209:C210"/>
    <mergeCell ref="A211:A212"/>
    <mergeCell ref="B211:C212"/>
    <mergeCell ref="A213:A214"/>
    <mergeCell ref="B213:C214"/>
    <mergeCell ref="A215:A216"/>
    <mergeCell ref="B215:C216"/>
    <mergeCell ref="A217:A218"/>
    <mergeCell ref="B217:C218"/>
    <mergeCell ref="A219:A220"/>
    <mergeCell ref="B219:C220"/>
    <mergeCell ref="A221:A222"/>
    <mergeCell ref="B221:C222"/>
    <mergeCell ref="A223:A224"/>
    <mergeCell ref="B223:C224"/>
    <mergeCell ref="A225:A226"/>
    <mergeCell ref="B225:C226"/>
    <mergeCell ref="A227:A228"/>
    <mergeCell ref="B227:C228"/>
    <mergeCell ref="A229:A230"/>
    <mergeCell ref="B229:C230"/>
    <mergeCell ref="A231:A232"/>
    <mergeCell ref="B231:C232"/>
    <mergeCell ref="A233:A234"/>
    <mergeCell ref="B233:C234"/>
    <mergeCell ref="A235:A236"/>
    <mergeCell ref="B235:C236"/>
    <mergeCell ref="A237:A238"/>
    <mergeCell ref="B237:C238"/>
    <mergeCell ref="A252:A253"/>
    <mergeCell ref="B252:C253"/>
    <mergeCell ref="A254:A255"/>
    <mergeCell ref="B254:C255"/>
    <mergeCell ref="A239:A240"/>
    <mergeCell ref="B239:C240"/>
    <mergeCell ref="A241:A242"/>
    <mergeCell ref="B241:C242"/>
    <mergeCell ref="A244:C244"/>
    <mergeCell ref="A246:C246"/>
    <mergeCell ref="A256:A257"/>
    <mergeCell ref="B256:C257"/>
    <mergeCell ref="A258:A259"/>
    <mergeCell ref="B258:C259"/>
    <mergeCell ref="A260:A261"/>
    <mergeCell ref="B260:C261"/>
    <mergeCell ref="A262:A263"/>
    <mergeCell ref="B262:C263"/>
    <mergeCell ref="A264:A265"/>
    <mergeCell ref="B264:C265"/>
    <mergeCell ref="A266:A267"/>
    <mergeCell ref="B266:C267"/>
    <mergeCell ref="A268:A269"/>
    <mergeCell ref="B268:C269"/>
    <mergeCell ref="A270:A271"/>
    <mergeCell ref="B270:C271"/>
    <mergeCell ref="A272:A273"/>
    <mergeCell ref="B272:C273"/>
    <mergeCell ref="A274:A275"/>
    <mergeCell ref="B274:C275"/>
    <mergeCell ref="A276:A277"/>
    <mergeCell ref="B276:C277"/>
    <mergeCell ref="B294:C295"/>
    <mergeCell ref="A296:A297"/>
    <mergeCell ref="B296:C297"/>
    <mergeCell ref="A278:A279"/>
    <mergeCell ref="B278:C279"/>
    <mergeCell ref="A280:A281"/>
    <mergeCell ref="A308:B308"/>
    <mergeCell ref="A310:B310"/>
    <mergeCell ref="A5:C5"/>
    <mergeCell ref="B27:C28"/>
    <mergeCell ref="A298:A299"/>
    <mergeCell ref="B298:C299"/>
    <mergeCell ref="A300:A301"/>
    <mergeCell ref="B300:C301"/>
    <mergeCell ref="A302:A303"/>
    <mergeCell ref="A282:A283"/>
    <mergeCell ref="A248:C248"/>
    <mergeCell ref="A250:C250"/>
    <mergeCell ref="A294:A295"/>
    <mergeCell ref="A288:A289"/>
    <mergeCell ref="B288:C289"/>
    <mergeCell ref="A306:B306"/>
    <mergeCell ref="B282:C283"/>
    <mergeCell ref="A284:A285"/>
    <mergeCell ref="B284:C285"/>
    <mergeCell ref="A286:A287"/>
    <mergeCell ref="A290:A291"/>
    <mergeCell ref="B290:C291"/>
    <mergeCell ref="A292:A293"/>
    <mergeCell ref="B292:C293"/>
    <mergeCell ref="B302:C303"/>
    <mergeCell ref="B280:C281"/>
    <mergeCell ref="B286:C287"/>
  </mergeCells>
  <printOptions horizontalCentered="1"/>
  <pageMargins left="0.25" right="0.25" top="0.75" bottom="0.75" header="0.3" footer="0.3"/>
  <pageSetup horizontalDpi="600" verticalDpi="600" orientation="portrait" paperSize="9" scale="71" r:id="rId2"/>
  <headerFooter>
    <oddFooter>&amp;L&amp;"-,Regular"&amp;A&amp;R&amp;"-,Regular"Página &amp;P de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8"/>
  <sheetViews>
    <sheetView view="pageBreakPreview" zoomScaleNormal="70" zoomScaleSheetLayoutView="100" zoomScalePageLayoutView="0" workbookViewId="0" topLeftCell="A59">
      <pane xSplit="1" topLeftCell="B1" activePane="topRight" state="frozen"/>
      <selection pane="topLeft" activeCell="E303" sqref="E303"/>
      <selection pane="topRight" activeCell="E75" sqref="E75"/>
    </sheetView>
  </sheetViews>
  <sheetFormatPr defaultColWidth="9.33203125" defaultRowHeight="12.75"/>
  <cols>
    <col min="1" max="1" width="16.66015625" style="307" customWidth="1"/>
    <col min="2" max="2" width="91" style="1" customWidth="1"/>
    <col min="3" max="3" width="16.16015625" style="103" customWidth="1"/>
    <col min="4" max="4" width="20.5" style="1" customWidth="1"/>
    <col min="5" max="5" width="45" style="1" customWidth="1"/>
    <col min="6" max="6" width="8.16015625" style="4" hidden="1" customWidth="1"/>
    <col min="7" max="7" width="27.33203125" style="3" hidden="1" customWidth="1"/>
    <col min="8" max="8" width="14" style="4" hidden="1" customWidth="1"/>
    <col min="9" max="9" width="10.33203125" style="3" hidden="1" customWidth="1"/>
    <col min="10" max="10" width="9.33203125" style="3" customWidth="1"/>
    <col min="11" max="11" width="12.66015625" style="1" customWidth="1"/>
    <col min="12" max="16384" width="9.33203125" style="1" customWidth="1"/>
  </cols>
  <sheetData>
    <row r="1" spans="3:6" ht="12.75">
      <c r="C1" s="770" t="s">
        <v>273</v>
      </c>
      <c r="D1" s="770"/>
      <c r="E1" s="770"/>
      <c r="F1" s="770"/>
    </row>
    <row r="2" spans="3:6" ht="12.75">
      <c r="C2" s="105" t="s">
        <v>274</v>
      </c>
      <c r="D2" s="433"/>
      <c r="E2" s="107" t="s">
        <v>275</v>
      </c>
      <c r="F2" s="108"/>
    </row>
    <row r="3" spans="3:6" ht="12.75">
      <c r="C3" s="109" t="s">
        <v>276</v>
      </c>
      <c r="D3" s="433"/>
      <c r="E3" s="111" t="s">
        <v>277</v>
      </c>
      <c r="F3" s="112"/>
    </row>
    <row r="4" spans="3:6" ht="12.75">
      <c r="C4" s="109" t="s">
        <v>278</v>
      </c>
      <c r="D4" s="433"/>
      <c r="E4" s="111" t="s">
        <v>279</v>
      </c>
      <c r="F4" s="112"/>
    </row>
    <row r="5" spans="3:6" ht="12.75">
      <c r="C5" s="109" t="s">
        <v>54</v>
      </c>
      <c r="D5" s="433"/>
      <c r="E5" s="526" t="s">
        <v>1833</v>
      </c>
      <c r="F5" s="112"/>
    </row>
    <row r="6" spans="3:6" ht="12.75">
      <c r="C6" s="109" t="s">
        <v>280</v>
      </c>
      <c r="D6" s="433"/>
      <c r="E6" s="111" t="s">
        <v>1832</v>
      </c>
      <c r="F6" s="112"/>
    </row>
    <row r="7" spans="3:6" ht="12.75">
      <c r="C7" s="109" t="s">
        <v>281</v>
      </c>
      <c r="D7" s="433"/>
      <c r="E7" s="254" t="s">
        <v>1134</v>
      </c>
      <c r="F7" s="112"/>
    </row>
    <row r="8" spans="3:5" ht="6" customHeight="1">
      <c r="C8" s="1"/>
      <c r="D8" s="256"/>
      <c r="E8" s="224"/>
    </row>
    <row r="9" spans="1:5" ht="15.75" customHeight="1">
      <c r="A9" s="771" t="s">
        <v>1143</v>
      </c>
      <c r="B9" s="772"/>
      <c r="C9" s="772"/>
      <c r="D9" s="772"/>
      <c r="E9" s="772"/>
    </row>
    <row r="10" spans="1:5" ht="12.75">
      <c r="A10" s="774" t="s">
        <v>1213</v>
      </c>
      <c r="B10" s="775" t="s">
        <v>26</v>
      </c>
      <c r="C10" s="775" t="s">
        <v>34</v>
      </c>
      <c r="D10" s="775" t="s">
        <v>1211</v>
      </c>
      <c r="E10" s="775" t="s">
        <v>41</v>
      </c>
    </row>
    <row r="11" spans="1:5" ht="15" customHeight="1">
      <c r="A11" s="774"/>
      <c r="B11" s="776"/>
      <c r="C11" s="776"/>
      <c r="D11" s="776"/>
      <c r="E11" s="776"/>
    </row>
    <row r="12" spans="1:6" ht="15" customHeight="1">
      <c r="A12" s="618" t="s">
        <v>1636</v>
      </c>
      <c r="B12" s="619" t="s">
        <v>1637</v>
      </c>
      <c r="C12" s="620"/>
      <c r="D12" s="620"/>
      <c r="E12" s="620"/>
      <c r="F12" s="621"/>
    </row>
    <row r="13" spans="1:6" ht="12.75">
      <c r="A13" s="580" t="s">
        <v>1638</v>
      </c>
      <c r="B13" s="583" t="s">
        <v>1639</v>
      </c>
      <c r="C13" s="583"/>
      <c r="D13" s="580"/>
      <c r="E13" s="580"/>
      <c r="F13" s="580"/>
    </row>
    <row r="14" spans="1:10" ht="15">
      <c r="A14" s="326" t="s">
        <v>1645</v>
      </c>
      <c r="B14" s="321" t="s">
        <v>112</v>
      </c>
      <c r="C14" s="322">
        <v>1</v>
      </c>
      <c r="D14" s="355" t="s">
        <v>5</v>
      </c>
      <c r="E14" s="336"/>
      <c r="F14" s="3" t="e">
        <f>B14*#REF!+B14*#REF!</f>
        <v>#VALUE!</v>
      </c>
      <c r="G14" s="65" t="e">
        <f>F14*(1+#REF!)</f>
        <v>#VALUE!</v>
      </c>
      <c r="H14" s="66"/>
      <c r="I14" s="66"/>
      <c r="J14" s="1"/>
    </row>
    <row r="15" spans="1:10" ht="15">
      <c r="A15" s="326" t="s">
        <v>1646</v>
      </c>
      <c r="B15" s="304" t="s">
        <v>140</v>
      </c>
      <c r="C15" s="313">
        <v>1</v>
      </c>
      <c r="D15" s="308" t="s">
        <v>272</v>
      </c>
      <c r="E15" s="338"/>
      <c r="F15" s="3"/>
      <c r="G15" s="65" t="e">
        <f>F15*(1+#REF!)</f>
        <v>#REF!</v>
      </c>
      <c r="H15" s="3"/>
      <c r="J15" s="1"/>
    </row>
    <row r="16" spans="1:10" ht="15">
      <c r="A16" s="618" t="s">
        <v>1431</v>
      </c>
      <c r="B16" s="619" t="s">
        <v>1432</v>
      </c>
      <c r="C16" s="620"/>
      <c r="D16" s="620"/>
      <c r="E16" s="621"/>
      <c r="F16" s="3" t="e">
        <f>B16*#REF!+B16*#REF!</f>
        <v>#VALUE!</v>
      </c>
      <c r="G16" s="65" t="e">
        <f>F16*(1+#REF!)</f>
        <v>#VALUE!</v>
      </c>
      <c r="H16" s="66"/>
      <c r="I16" s="66"/>
      <c r="J16" s="1"/>
    </row>
    <row r="17" spans="1:10" ht="15">
      <c r="A17" s="580" t="s">
        <v>1433</v>
      </c>
      <c r="B17" s="583" t="s">
        <v>1629</v>
      </c>
      <c r="C17" s="580"/>
      <c r="D17" s="580"/>
      <c r="E17" s="580"/>
      <c r="F17" s="3" t="e">
        <f>B17*#REF!+B17*#REF!</f>
        <v>#VALUE!</v>
      </c>
      <c r="G17" s="65" t="e">
        <f>F17*(1+#REF!)</f>
        <v>#VALUE!</v>
      </c>
      <c r="H17" s="66"/>
      <c r="I17" s="66"/>
      <c r="J17" s="1"/>
    </row>
    <row r="18" spans="1:10" ht="15">
      <c r="A18" s="326" t="s">
        <v>1647</v>
      </c>
      <c r="B18" s="379" t="s">
        <v>114</v>
      </c>
      <c r="C18" s="327">
        <f>2*2.1</f>
        <v>4.2</v>
      </c>
      <c r="D18" s="319" t="s">
        <v>25</v>
      </c>
      <c r="E18" s="336"/>
      <c r="F18" s="3"/>
      <c r="G18" s="65"/>
      <c r="H18" s="66"/>
      <c r="I18" s="66"/>
      <c r="J18" s="1"/>
    </row>
    <row r="19" spans="1:10" ht="15">
      <c r="A19" s="326" t="s">
        <v>1648</v>
      </c>
      <c r="B19" s="304" t="s">
        <v>116</v>
      </c>
      <c r="C19" s="314">
        <v>60</v>
      </c>
      <c r="D19" s="308" t="s">
        <v>25</v>
      </c>
      <c r="E19" s="338"/>
      <c r="F19" s="3" t="e">
        <f>B19*#REF!+B19*#REF!</f>
        <v>#VALUE!</v>
      </c>
      <c r="G19" s="65" t="e">
        <f>F19*(1+#REF!)</f>
        <v>#VALUE!</v>
      </c>
      <c r="H19" s="66"/>
      <c r="I19" s="66"/>
      <c r="J19" s="1"/>
    </row>
    <row r="20" spans="1:10" ht="15">
      <c r="A20" s="580" t="s">
        <v>1434</v>
      </c>
      <c r="B20" s="583" t="s">
        <v>1630</v>
      </c>
      <c r="C20" s="580"/>
      <c r="D20" s="580"/>
      <c r="E20" s="580"/>
      <c r="F20" s="3"/>
      <c r="G20" s="65"/>
      <c r="H20" s="66"/>
      <c r="I20" s="66"/>
      <c r="J20" s="1"/>
    </row>
    <row r="21" spans="1:10" ht="15">
      <c r="A21" s="641" t="s">
        <v>1649</v>
      </c>
      <c r="B21" s="513" t="s">
        <v>1305</v>
      </c>
      <c r="C21" s="514">
        <v>1</v>
      </c>
      <c r="D21" s="325" t="s">
        <v>1435</v>
      </c>
      <c r="E21" s="337"/>
      <c r="F21" s="3" t="e">
        <f>B21*#REF!+B21*#REF!</f>
        <v>#VALUE!</v>
      </c>
      <c r="G21" s="65" t="e">
        <f>F21*(1+#REF!)</f>
        <v>#VALUE!</v>
      </c>
      <c r="H21" s="66"/>
      <c r="I21" s="66"/>
      <c r="J21" s="1"/>
    </row>
    <row r="22" spans="1:10" ht="15">
      <c r="A22" s="580" t="s">
        <v>1642</v>
      </c>
      <c r="B22" s="583" t="s">
        <v>1643</v>
      </c>
      <c r="C22" s="580"/>
      <c r="D22" s="580"/>
      <c r="E22" s="580"/>
      <c r="F22" s="3" t="e">
        <f>B22*#REF!+B22*#REF!</f>
        <v>#VALUE!</v>
      </c>
      <c r="G22" s="65" t="e">
        <f>F22*(1+#REF!)</f>
        <v>#VALUE!</v>
      </c>
      <c r="H22" s="66"/>
      <c r="I22" s="66"/>
      <c r="J22" s="1"/>
    </row>
    <row r="23" spans="1:10" ht="15" customHeight="1">
      <c r="A23" s="326" t="s">
        <v>1650</v>
      </c>
      <c r="B23" s="332" t="s">
        <v>115</v>
      </c>
      <c r="C23" s="561">
        <v>5</v>
      </c>
      <c r="D23" s="319" t="s">
        <v>57</v>
      </c>
      <c r="E23" s="336"/>
      <c r="F23" s="3"/>
      <c r="G23" s="65" t="e">
        <f>F23*(1+#REF!)</f>
        <v>#REF!</v>
      </c>
      <c r="H23" s="66"/>
      <c r="I23" s="66"/>
      <c r="J23" s="1"/>
    </row>
    <row r="24" spans="1:10" ht="15">
      <c r="A24" s="571" t="s">
        <v>1436</v>
      </c>
      <c r="B24" s="689" t="s">
        <v>1437</v>
      </c>
      <c r="C24" s="571"/>
      <c r="D24" s="571"/>
      <c r="E24" s="571"/>
      <c r="F24" s="3" t="e">
        <f>B24*#REF!+B24*#REF!</f>
        <v>#VALUE!</v>
      </c>
      <c r="G24" s="65" t="e">
        <f>F24*(1+#REF!)</f>
        <v>#VALUE!</v>
      </c>
      <c r="H24" s="66"/>
      <c r="I24" s="66"/>
      <c r="J24" s="1"/>
    </row>
    <row r="25" spans="1:10" ht="15">
      <c r="A25" s="571" t="s">
        <v>1580</v>
      </c>
      <c r="B25" s="689" t="s">
        <v>1581</v>
      </c>
      <c r="C25" s="571"/>
      <c r="D25" s="571"/>
      <c r="E25" s="571"/>
      <c r="F25" s="3" t="e">
        <f>B25*#REF!+B25*#REF!</f>
        <v>#VALUE!</v>
      </c>
      <c r="G25" s="65" t="e">
        <f>F25*(1+#REF!)</f>
        <v>#VALUE!</v>
      </c>
      <c r="H25" s="66"/>
      <c r="I25" s="66"/>
      <c r="J25" s="1"/>
    </row>
    <row r="26" spans="1:10" ht="15">
      <c r="A26" s="578" t="s">
        <v>1582</v>
      </c>
      <c r="B26" s="579" t="s">
        <v>1583</v>
      </c>
      <c r="C26" s="578"/>
      <c r="D26" s="578"/>
      <c r="E26" s="578"/>
      <c r="F26" s="3" t="e">
        <f>B26*#REF!+B26*#REF!</f>
        <v>#VALUE!</v>
      </c>
      <c r="G26" s="65" t="e">
        <f>F26*(1+#REF!)</f>
        <v>#VALUE!</v>
      </c>
      <c r="H26" s="66"/>
      <c r="I26" s="66"/>
      <c r="J26" s="1"/>
    </row>
    <row r="27" spans="1:10" ht="15">
      <c r="A27" s="326" t="s">
        <v>1644</v>
      </c>
      <c r="B27" s="379" t="s">
        <v>122</v>
      </c>
      <c r="C27" s="322">
        <v>3</v>
      </c>
      <c r="D27" s="319" t="s">
        <v>111</v>
      </c>
      <c r="E27" s="336"/>
      <c r="F27" s="3" t="e">
        <f>B27*#REF!+B27*#REF!</f>
        <v>#VALUE!</v>
      </c>
      <c r="G27" s="65" t="e">
        <f>F27*(1+#REF!)</f>
        <v>#VALUE!</v>
      </c>
      <c r="H27" s="66"/>
      <c r="I27" s="66"/>
      <c r="J27" s="1"/>
    </row>
    <row r="28" spans="1:10" ht="15">
      <c r="A28" s="571" t="s">
        <v>1623</v>
      </c>
      <c r="B28" s="689" t="s">
        <v>1624</v>
      </c>
      <c r="C28" s="571"/>
      <c r="D28" s="571"/>
      <c r="E28" s="571"/>
      <c r="F28" s="3" t="e">
        <f>B28*#REF!+B28*#REF!</f>
        <v>#VALUE!</v>
      </c>
      <c r="G28" s="65" t="e">
        <f>F28*(1+#REF!)</f>
        <v>#VALUE!</v>
      </c>
      <c r="H28" s="66"/>
      <c r="I28" s="66"/>
      <c r="J28" s="1"/>
    </row>
    <row r="29" spans="1:10" ht="15">
      <c r="A29" s="655" t="s">
        <v>1651</v>
      </c>
      <c r="B29" s="304" t="s">
        <v>126</v>
      </c>
      <c r="C29" s="313">
        <v>0.4824</v>
      </c>
      <c r="D29" s="308" t="s">
        <v>24</v>
      </c>
      <c r="E29" s="338"/>
      <c r="F29" s="3" t="e">
        <f>B29*#REF!+B29*#REF!</f>
        <v>#VALUE!</v>
      </c>
      <c r="G29" s="65" t="e">
        <f>F29*(1+#REF!)</f>
        <v>#VALUE!</v>
      </c>
      <c r="H29" s="66"/>
      <c r="I29" s="66"/>
      <c r="J29" s="1"/>
    </row>
    <row r="30" spans="1:10" ht="15">
      <c r="A30" s="311" t="s">
        <v>1652</v>
      </c>
      <c r="B30" s="332" t="s">
        <v>131</v>
      </c>
      <c r="C30" s="322">
        <v>16.59</v>
      </c>
      <c r="D30" s="319" t="s">
        <v>25</v>
      </c>
      <c r="E30" s="336"/>
      <c r="F30" s="3" t="e">
        <f>B30*#REF!+B30*#REF!</f>
        <v>#VALUE!</v>
      </c>
      <c r="G30" s="65" t="e">
        <f>F30*(1+#REF!)</f>
        <v>#VALUE!</v>
      </c>
      <c r="H30" s="66"/>
      <c r="I30" s="66"/>
      <c r="J30" s="1"/>
    </row>
    <row r="31" spans="1:10" ht="15">
      <c r="A31" s="654" t="s">
        <v>1653</v>
      </c>
      <c r="B31" s="304" t="s">
        <v>135</v>
      </c>
      <c r="C31" s="313">
        <v>2</v>
      </c>
      <c r="D31" s="308" t="s">
        <v>111</v>
      </c>
      <c r="E31" s="338"/>
      <c r="F31" s="3" t="e">
        <f>B31*#REF!+B31*#REF!</f>
        <v>#VALUE!</v>
      </c>
      <c r="G31" s="65" t="e">
        <f>F31*(1+#REF!)</f>
        <v>#VALUE!</v>
      </c>
      <c r="H31" s="66"/>
      <c r="I31" s="66"/>
      <c r="J31" s="1"/>
    </row>
    <row r="32" spans="1:10" ht="15">
      <c r="A32" s="311" t="s">
        <v>1654</v>
      </c>
      <c r="B32" s="332" t="s">
        <v>136</v>
      </c>
      <c r="C32" s="322">
        <v>4.2</v>
      </c>
      <c r="D32" s="319" t="s">
        <v>25</v>
      </c>
      <c r="E32" s="336"/>
      <c r="F32" s="3" t="e">
        <f>B32*#REF!+B32*#REF!</f>
        <v>#VALUE!</v>
      </c>
      <c r="G32" s="65" t="e">
        <f>F32*(1+#REF!)</f>
        <v>#VALUE!</v>
      </c>
      <c r="H32" s="66"/>
      <c r="I32" s="66"/>
      <c r="J32" s="1"/>
    </row>
    <row r="33" spans="1:10" ht="15">
      <c r="A33" s="654" t="s">
        <v>1655</v>
      </c>
      <c r="B33" s="332" t="s">
        <v>139</v>
      </c>
      <c r="C33" s="322">
        <v>4.2</v>
      </c>
      <c r="D33" s="319" t="s">
        <v>25</v>
      </c>
      <c r="E33" s="336"/>
      <c r="F33" s="3" t="e">
        <f>B33*#REF!+B33*#REF!</f>
        <v>#VALUE!</v>
      </c>
      <c r="G33" s="65" t="e">
        <f>F33*(1+#REF!)</f>
        <v>#VALUE!</v>
      </c>
      <c r="H33" s="66"/>
      <c r="I33" s="66"/>
      <c r="J33" s="1"/>
    </row>
    <row r="34" spans="1:10" ht="15">
      <c r="A34" s="569" t="s">
        <v>1586</v>
      </c>
      <c r="B34" s="575" t="s">
        <v>176</v>
      </c>
      <c r="C34" s="569"/>
      <c r="D34" s="569"/>
      <c r="E34" s="569"/>
      <c r="F34" s="3" t="e">
        <f>B34*#REF!+B34*#REF!</f>
        <v>#VALUE!</v>
      </c>
      <c r="G34" s="65" t="e">
        <f>F34*(1+#REF!)</f>
        <v>#VALUE!</v>
      </c>
      <c r="H34" s="66"/>
      <c r="I34" s="66"/>
      <c r="J34" s="1"/>
    </row>
    <row r="35" spans="1:10" ht="15">
      <c r="A35" s="326" t="s">
        <v>1656</v>
      </c>
      <c r="B35" s="379" t="s">
        <v>128</v>
      </c>
      <c r="C35" s="322">
        <v>52.5</v>
      </c>
      <c r="D35" s="319" t="s">
        <v>25</v>
      </c>
      <c r="E35" s="336"/>
      <c r="F35" s="3" t="e">
        <f>B35*#REF!+B35*#REF!</f>
        <v>#VALUE!</v>
      </c>
      <c r="G35" s="65" t="e">
        <f>F35*(1+#REF!)</f>
        <v>#VALUE!</v>
      </c>
      <c r="H35" s="66"/>
      <c r="I35" s="66"/>
      <c r="J35" s="1"/>
    </row>
    <row r="36" spans="1:10" ht="15">
      <c r="A36" s="326" t="s">
        <v>1657</v>
      </c>
      <c r="B36" s="379" t="s">
        <v>125</v>
      </c>
      <c r="C36" s="322">
        <v>50</v>
      </c>
      <c r="D36" s="319" t="s">
        <v>4</v>
      </c>
      <c r="E36" s="336"/>
      <c r="F36" s="3" t="e">
        <f>B36*#REF!+B36*#REF!</f>
        <v>#VALUE!</v>
      </c>
      <c r="G36" s="65" t="e">
        <f>F36*(1+#REF!)</f>
        <v>#VALUE!</v>
      </c>
      <c r="H36" s="66"/>
      <c r="I36" s="66"/>
      <c r="J36" s="1"/>
    </row>
    <row r="37" spans="1:10" ht="15">
      <c r="A37" s="569" t="s">
        <v>1587</v>
      </c>
      <c r="B37" s="575" t="s">
        <v>1620</v>
      </c>
      <c r="C37" s="575"/>
      <c r="D37" s="575"/>
      <c r="E37" s="575"/>
      <c r="F37" s="3" t="e">
        <f>B37*#REF!+B37*#REF!</f>
        <v>#VALUE!</v>
      </c>
      <c r="G37" s="65" t="e">
        <f>F37*(1+#REF!)</f>
        <v>#VALUE!</v>
      </c>
      <c r="H37" s="66"/>
      <c r="I37" s="66"/>
      <c r="J37" s="1"/>
    </row>
    <row r="38" spans="1:10" ht="15">
      <c r="A38" s="326" t="s">
        <v>1658</v>
      </c>
      <c r="B38" s="379" t="s">
        <v>124</v>
      </c>
      <c r="C38" s="322">
        <v>50</v>
      </c>
      <c r="D38" s="319" t="s">
        <v>4</v>
      </c>
      <c r="E38" s="336"/>
      <c r="F38" s="3" t="e">
        <f>B38*#REF!+B38*#REF!</f>
        <v>#VALUE!</v>
      </c>
      <c r="G38" s="65" t="e">
        <f>F38*(1+#REF!)</f>
        <v>#VALUE!</v>
      </c>
      <c r="H38" s="66"/>
      <c r="I38" s="66"/>
      <c r="J38" s="1"/>
    </row>
    <row r="39" spans="1:10" ht="15">
      <c r="A39" s="326" t="s">
        <v>1659</v>
      </c>
      <c r="B39" s="332" t="s">
        <v>138</v>
      </c>
      <c r="C39" s="322">
        <v>5.6</v>
      </c>
      <c r="D39" s="319" t="s">
        <v>4</v>
      </c>
      <c r="E39" s="336"/>
      <c r="F39" s="3" t="e">
        <f>B39*#REF!+B39*#REF!</f>
        <v>#VALUE!</v>
      </c>
      <c r="G39" s="65" t="e">
        <f>F39*(1+#REF!)</f>
        <v>#VALUE!</v>
      </c>
      <c r="H39" s="66"/>
      <c r="I39" s="66"/>
      <c r="J39" s="1"/>
    </row>
    <row r="40" spans="1:10" ht="15">
      <c r="A40" s="569" t="s">
        <v>1584</v>
      </c>
      <c r="B40" s="575" t="s">
        <v>1585</v>
      </c>
      <c r="C40" s="575"/>
      <c r="D40" s="575"/>
      <c r="E40" s="575"/>
      <c r="F40" s="3"/>
      <c r="G40" s="65"/>
      <c r="H40" s="66"/>
      <c r="I40" s="66"/>
      <c r="J40" s="1"/>
    </row>
    <row r="41" spans="1:10" ht="15">
      <c r="A41" s="326" t="s">
        <v>1660</v>
      </c>
      <c r="B41" s="332" t="s">
        <v>134</v>
      </c>
      <c r="C41" s="322">
        <v>70</v>
      </c>
      <c r="D41" s="319" t="s">
        <v>25</v>
      </c>
      <c r="E41" s="336"/>
      <c r="F41" s="3" t="e">
        <f>B41*#REF!+B41*#REF!</f>
        <v>#VALUE!</v>
      </c>
      <c r="G41" s="65" t="e">
        <f>F41*(1+#REF!)</f>
        <v>#VALUE!</v>
      </c>
      <c r="H41" s="66"/>
      <c r="I41" s="66"/>
      <c r="J41" s="1"/>
    </row>
    <row r="42" spans="1:10" ht="15">
      <c r="A42" s="571" t="s">
        <v>1625</v>
      </c>
      <c r="B42" s="689" t="s">
        <v>1626</v>
      </c>
      <c r="C42" s="571"/>
      <c r="D42" s="571"/>
      <c r="E42" s="571"/>
      <c r="F42" s="3" t="e">
        <f>B42*#REF!+B42*#REF!</f>
        <v>#VALUE!</v>
      </c>
      <c r="G42" s="65" t="e">
        <f>F42*(1+#REF!)</f>
        <v>#VALUE!</v>
      </c>
      <c r="H42" s="66"/>
      <c r="I42" s="66"/>
      <c r="J42" s="1"/>
    </row>
    <row r="43" spans="1:10" ht="15">
      <c r="A43" s="578" t="s">
        <v>1627</v>
      </c>
      <c r="B43" s="579" t="s">
        <v>1628</v>
      </c>
      <c r="C43" s="578"/>
      <c r="D43" s="578"/>
      <c r="E43" s="578"/>
      <c r="F43" s="3"/>
      <c r="G43" s="65"/>
      <c r="H43" s="66"/>
      <c r="I43" s="66"/>
      <c r="J43" s="1"/>
    </row>
    <row r="44" spans="1:10" ht="15">
      <c r="A44" s="326" t="s">
        <v>1665</v>
      </c>
      <c r="B44" s="332" t="s">
        <v>133</v>
      </c>
      <c r="C44" s="322">
        <v>25</v>
      </c>
      <c r="D44" s="319" t="s">
        <v>4</v>
      </c>
      <c r="E44" s="336"/>
      <c r="F44" s="3" t="e">
        <f>B44*#REF!+B44*#REF!</f>
        <v>#VALUE!</v>
      </c>
      <c r="G44" s="65" t="e">
        <f>F44*(1+#REF!)</f>
        <v>#VALUE!</v>
      </c>
      <c r="H44" s="66"/>
      <c r="I44" s="66"/>
      <c r="J44" s="1"/>
    </row>
    <row r="45" spans="1:10" ht="15">
      <c r="A45" s="569" t="s">
        <v>1621</v>
      </c>
      <c r="B45" s="575" t="s">
        <v>1622</v>
      </c>
      <c r="C45" s="569"/>
      <c r="D45" s="569"/>
      <c r="E45" s="569"/>
      <c r="F45" s="3" t="e">
        <f>B45*#REF!+B45*#REF!</f>
        <v>#VALUE!</v>
      </c>
      <c r="G45" s="65" t="e">
        <f>F45*(1+#REF!)</f>
        <v>#VALUE!</v>
      </c>
      <c r="H45" s="66"/>
      <c r="I45" s="66"/>
      <c r="J45" s="1"/>
    </row>
    <row r="46" spans="1:10" ht="15">
      <c r="A46" s="326" t="s">
        <v>1666</v>
      </c>
      <c r="B46" s="332" t="s">
        <v>132</v>
      </c>
      <c r="C46" s="322">
        <v>9</v>
      </c>
      <c r="D46" s="319" t="s">
        <v>111</v>
      </c>
      <c r="E46" s="336"/>
      <c r="F46" s="3" t="e">
        <f>B46*#REF!+B46*#REF!</f>
        <v>#VALUE!</v>
      </c>
      <c r="G46" s="65" t="e">
        <f>F46*(1+#REF!)</f>
        <v>#VALUE!</v>
      </c>
      <c r="H46" s="66"/>
      <c r="I46" s="66"/>
      <c r="J46" s="1"/>
    </row>
    <row r="47" spans="1:10" ht="15">
      <c r="A47" s="571" t="s">
        <v>1661</v>
      </c>
      <c r="B47" s="689" t="s">
        <v>1662</v>
      </c>
      <c r="C47" s="571"/>
      <c r="D47" s="571"/>
      <c r="E47" s="571"/>
      <c r="F47" s="3"/>
      <c r="G47" s="65"/>
      <c r="H47" s="66"/>
      <c r="I47" s="66"/>
      <c r="J47" s="1"/>
    </row>
    <row r="48" spans="1:10" ht="15">
      <c r="A48" s="326" t="s">
        <v>1663</v>
      </c>
      <c r="B48" s="332" t="s">
        <v>130</v>
      </c>
      <c r="C48" s="322">
        <v>35</v>
      </c>
      <c r="D48" s="319" t="s">
        <v>111</v>
      </c>
      <c r="E48" s="336"/>
      <c r="F48" s="3" t="e">
        <f>B48*#REF!+B48*#REF!</f>
        <v>#VALUE!</v>
      </c>
      <c r="G48" s="65" t="e">
        <f>F48*(1+#REF!)</f>
        <v>#VALUE!</v>
      </c>
      <c r="H48" s="66"/>
      <c r="I48" s="66"/>
      <c r="J48" s="1"/>
    </row>
    <row r="49" spans="1:10" ht="15">
      <c r="A49" s="309" t="s">
        <v>1664</v>
      </c>
      <c r="B49" s="304" t="s">
        <v>108</v>
      </c>
      <c r="C49" s="313">
        <v>12</v>
      </c>
      <c r="D49" s="308" t="s">
        <v>111</v>
      </c>
      <c r="E49" s="338"/>
      <c r="F49" s="3" t="e">
        <f>B49*#REF!+B49*#REF!</f>
        <v>#VALUE!</v>
      </c>
      <c r="G49" s="65" t="e">
        <f>F49*(1+#REF!)</f>
        <v>#VALUE!</v>
      </c>
      <c r="H49" s="66"/>
      <c r="I49" s="66"/>
      <c r="J49" s="1"/>
    </row>
    <row r="50" spans="1:10" ht="15">
      <c r="A50" s="571" t="s">
        <v>1590</v>
      </c>
      <c r="B50" s="689" t="s">
        <v>1588</v>
      </c>
      <c r="C50" s="571"/>
      <c r="D50" s="571"/>
      <c r="E50" s="571"/>
      <c r="F50" s="3" t="e">
        <f>B50*#REF!+B50*#REF!</f>
        <v>#VALUE!</v>
      </c>
      <c r="G50" s="65" t="e">
        <f>F50*(1+#REF!)</f>
        <v>#VALUE!</v>
      </c>
      <c r="H50" s="66"/>
      <c r="I50" s="66"/>
      <c r="J50" s="1"/>
    </row>
    <row r="51" spans="1:10" ht="15">
      <c r="A51" s="569" t="s">
        <v>1589</v>
      </c>
      <c r="B51" s="575" t="s">
        <v>1591</v>
      </c>
      <c r="C51" s="569"/>
      <c r="D51" s="569"/>
      <c r="E51" s="569"/>
      <c r="F51" s="3" t="e">
        <f>B51*#REF!+B51*#REF!</f>
        <v>#VALUE!</v>
      </c>
      <c r="G51" s="65" t="e">
        <f>F51*(1+#REF!)</f>
        <v>#VALUE!</v>
      </c>
      <c r="H51" s="66"/>
      <c r="I51" s="66"/>
      <c r="J51" s="1"/>
    </row>
    <row r="52" spans="1:10" ht="15">
      <c r="A52" s="319" t="s">
        <v>1592</v>
      </c>
      <c r="B52" s="321" t="s">
        <v>141</v>
      </c>
      <c r="C52" s="322">
        <v>104.95</v>
      </c>
      <c r="D52" s="319" t="s">
        <v>25</v>
      </c>
      <c r="E52" s="336"/>
      <c r="F52" s="3" t="e">
        <f>B52*#REF!+B52*#REF!</f>
        <v>#VALUE!</v>
      </c>
      <c r="G52" s="65" t="e">
        <f>F52*(1+#REF!)</f>
        <v>#VALUE!</v>
      </c>
      <c r="H52" s="66"/>
      <c r="I52" s="66"/>
      <c r="J52" s="1"/>
    </row>
    <row r="53" spans="1:10" ht="15">
      <c r="A53" s="308" t="s">
        <v>1595</v>
      </c>
      <c r="B53" s="300" t="s">
        <v>143</v>
      </c>
      <c r="C53" s="313">
        <f>9.5*1.8</f>
        <v>17.1</v>
      </c>
      <c r="D53" s="308" t="s">
        <v>25</v>
      </c>
      <c r="E53" s="338"/>
      <c r="F53" s="3"/>
      <c r="G53" s="65"/>
      <c r="H53" s="66"/>
      <c r="I53" s="66"/>
      <c r="J53" s="1"/>
    </row>
    <row r="54" spans="1:10" ht="15">
      <c r="A54" s="571" t="s">
        <v>1442</v>
      </c>
      <c r="B54" s="689" t="s">
        <v>1443</v>
      </c>
      <c r="C54" s="571"/>
      <c r="D54" s="571"/>
      <c r="E54" s="571"/>
      <c r="F54" s="3" t="e">
        <f>B54*#REF!+B54*#REF!</f>
        <v>#VALUE!</v>
      </c>
      <c r="G54" s="65" t="e">
        <f>F54*(1+#REF!)</f>
        <v>#VALUE!</v>
      </c>
      <c r="H54" s="66"/>
      <c r="I54" s="66"/>
      <c r="J54" s="1"/>
    </row>
    <row r="55" spans="1:10" ht="15">
      <c r="A55" s="580" t="s">
        <v>1593</v>
      </c>
      <c r="B55" s="583" t="s">
        <v>1594</v>
      </c>
      <c r="C55" s="583"/>
      <c r="D55" s="583"/>
      <c r="E55" s="583"/>
      <c r="F55" s="3" t="e">
        <f>B55*#REF!+B55*#REF!</f>
        <v>#VALUE!</v>
      </c>
      <c r="G55" s="65" t="e">
        <f>F55*(1+#REF!)</f>
        <v>#VALUE!</v>
      </c>
      <c r="H55" s="66"/>
      <c r="I55" s="66"/>
      <c r="J55" s="1"/>
    </row>
    <row r="56" spans="1:10" ht="63.75">
      <c r="A56" s="319" t="s">
        <v>1667</v>
      </c>
      <c r="B56" s="300" t="s">
        <v>144</v>
      </c>
      <c r="C56" s="313">
        <v>2</v>
      </c>
      <c r="D56" s="358" t="s">
        <v>5</v>
      </c>
      <c r="E56" s="338"/>
      <c r="F56" s="3"/>
      <c r="G56" s="65"/>
      <c r="H56" s="66"/>
      <c r="I56" s="66"/>
      <c r="J56" s="1"/>
    </row>
    <row r="57" spans="1:10" ht="52.5" customHeight="1">
      <c r="A57" s="308" t="s">
        <v>1668</v>
      </c>
      <c r="B57" s="321" t="s">
        <v>146</v>
      </c>
      <c r="C57" s="322">
        <v>3</v>
      </c>
      <c r="D57" s="355" t="s">
        <v>5</v>
      </c>
      <c r="E57" s="336"/>
      <c r="F57" s="3" t="e">
        <f>B57*#REF!+B57*#REF!</f>
        <v>#VALUE!</v>
      </c>
      <c r="G57" s="65" t="e">
        <f>F57*(1+#REF!)</f>
        <v>#VALUE!</v>
      </c>
      <c r="H57" s="67"/>
      <c r="I57" s="67"/>
      <c r="J57" s="1"/>
    </row>
    <row r="58" spans="1:10" ht="42" customHeight="1">
      <c r="A58" s="319" t="s">
        <v>1669</v>
      </c>
      <c r="B58" s="321" t="s">
        <v>147</v>
      </c>
      <c r="C58" s="322">
        <v>6</v>
      </c>
      <c r="D58" s="355" t="s">
        <v>5</v>
      </c>
      <c r="E58" s="336"/>
      <c r="F58" s="3" t="e">
        <f>B58*#REF!+B58*#REF!</f>
        <v>#VALUE!</v>
      </c>
      <c r="G58" s="65" t="e">
        <f>F58*(1+#REF!)</f>
        <v>#VALUE!</v>
      </c>
      <c r="H58" s="67"/>
      <c r="I58" s="67"/>
      <c r="J58" s="1"/>
    </row>
    <row r="59" spans="1:10" ht="51">
      <c r="A59" s="308" t="s">
        <v>1670</v>
      </c>
      <c r="B59" s="300" t="s">
        <v>148</v>
      </c>
      <c r="C59" s="313">
        <v>3.752</v>
      </c>
      <c r="D59" s="308" t="s">
        <v>25</v>
      </c>
      <c r="E59" s="338"/>
      <c r="F59" s="3" t="e">
        <f>B59*#REF!+B59*#REF!</f>
        <v>#VALUE!</v>
      </c>
      <c r="G59" s="65" t="e">
        <f>F59*(1+#REF!)</f>
        <v>#VALUE!</v>
      </c>
      <c r="H59" s="67"/>
      <c r="I59" s="67"/>
      <c r="J59" s="1"/>
    </row>
    <row r="60" spans="1:10" ht="15">
      <c r="A60" s="571" t="s">
        <v>1451</v>
      </c>
      <c r="B60" s="689" t="s">
        <v>1450</v>
      </c>
      <c r="C60" s="571"/>
      <c r="D60" s="571"/>
      <c r="E60" s="571"/>
      <c r="F60" s="3" t="e">
        <f>B60*#REF!+B60*#REF!</f>
        <v>#VALUE!</v>
      </c>
      <c r="G60" s="65" t="e">
        <f>F60*(1+#REF!)</f>
        <v>#VALUE!</v>
      </c>
      <c r="H60" s="67"/>
      <c r="I60" s="67"/>
      <c r="J60" s="1"/>
    </row>
    <row r="61" spans="1:10" ht="25.5">
      <c r="A61" s="319" t="s">
        <v>1596</v>
      </c>
      <c r="B61" s="321" t="s">
        <v>172</v>
      </c>
      <c r="C61" s="322">
        <v>47.07</v>
      </c>
      <c r="D61" s="319" t="s">
        <v>25</v>
      </c>
      <c r="E61" s="336"/>
      <c r="F61" s="3" t="e">
        <f>B61*#REF!+B61*#REF!</f>
        <v>#VALUE!</v>
      </c>
      <c r="G61" s="65" t="e">
        <f>F61*(1+#REF!)</f>
        <v>#VALUE!</v>
      </c>
      <c r="H61" s="67"/>
      <c r="I61" s="67"/>
      <c r="J61" s="1"/>
    </row>
    <row r="62" spans="1:10" ht="15">
      <c r="A62" s="319" t="s">
        <v>1597</v>
      </c>
      <c r="B62" s="321" t="s">
        <v>173</v>
      </c>
      <c r="C62" s="322">
        <v>17.3</v>
      </c>
      <c r="D62" s="319" t="s">
        <v>6</v>
      </c>
      <c r="E62" s="336"/>
      <c r="F62" s="3"/>
      <c r="G62" s="65"/>
      <c r="H62" s="67"/>
      <c r="I62" s="67"/>
      <c r="J62" s="1"/>
    </row>
    <row r="63" spans="1:10" ht="15">
      <c r="A63" s="325" t="s">
        <v>1617</v>
      </c>
      <c r="B63" s="524" t="s">
        <v>179</v>
      </c>
      <c r="C63" s="387">
        <v>74.36</v>
      </c>
      <c r="D63" s="617" t="s">
        <v>25</v>
      </c>
      <c r="E63" s="337"/>
      <c r="F63" s="3" t="e">
        <f>B63*#REF!+B63*#REF!</f>
        <v>#VALUE!</v>
      </c>
      <c r="G63" s="65" t="e">
        <f>F63*(1+#REF!)</f>
        <v>#VALUE!</v>
      </c>
      <c r="H63" s="66"/>
      <c r="I63" s="66"/>
      <c r="J63" s="1"/>
    </row>
    <row r="64" spans="1:10" ht="15">
      <c r="A64" s="571" t="s">
        <v>1446</v>
      </c>
      <c r="B64" s="689" t="s">
        <v>1447</v>
      </c>
      <c r="C64" s="689"/>
      <c r="D64" s="689"/>
      <c r="E64" s="689"/>
      <c r="F64" s="3" t="e">
        <f>B64*#REF!+B64*#REF!</f>
        <v>#VALUE!</v>
      </c>
      <c r="G64" s="65" t="e">
        <f>F64*(1+#REF!)</f>
        <v>#VALUE!</v>
      </c>
      <c r="H64" s="66"/>
      <c r="I64" s="66"/>
      <c r="J64" s="1"/>
    </row>
    <row r="65" spans="1:10" ht="15">
      <c r="A65" s="319" t="s">
        <v>1598</v>
      </c>
      <c r="B65" s="321" t="s">
        <v>157</v>
      </c>
      <c r="C65" s="322">
        <v>188.45</v>
      </c>
      <c r="D65" s="319" t="s">
        <v>25</v>
      </c>
      <c r="E65" s="336"/>
      <c r="F65" s="3" t="e">
        <f>B65*#REF!+B65*#REF!</f>
        <v>#VALUE!</v>
      </c>
      <c r="G65" s="65" t="e">
        <f>F65*(1+#REF!)</f>
        <v>#VALUE!</v>
      </c>
      <c r="H65" s="66"/>
      <c r="I65" s="66"/>
      <c r="J65" s="1"/>
    </row>
    <row r="66" spans="1:10" ht="15">
      <c r="A66" s="319" t="s">
        <v>1599</v>
      </c>
      <c r="B66" s="300" t="s">
        <v>159</v>
      </c>
      <c r="C66" s="313">
        <v>188.45</v>
      </c>
      <c r="D66" s="308" t="s">
        <v>25</v>
      </c>
      <c r="E66" s="338"/>
      <c r="F66" s="3" t="e">
        <f>B66*#REF!+B66*#REF!</f>
        <v>#VALUE!</v>
      </c>
      <c r="G66" s="65" t="e">
        <f>F66*(1+#REF!)</f>
        <v>#VALUE!</v>
      </c>
      <c r="H66" s="66"/>
      <c r="I66" s="66"/>
      <c r="J66" s="1"/>
    </row>
    <row r="67" spans="1:10" ht="15">
      <c r="A67" s="319" t="s">
        <v>1600</v>
      </c>
      <c r="B67" s="321" t="s">
        <v>160</v>
      </c>
      <c r="C67" s="322">
        <v>188.45</v>
      </c>
      <c r="D67" s="319" t="s">
        <v>25</v>
      </c>
      <c r="E67" s="336"/>
      <c r="F67" s="3" t="e">
        <f>B67*#REF!+B67*#REF!</f>
        <v>#VALUE!</v>
      </c>
      <c r="G67" s="65" t="e">
        <f>F67*(1+#REF!)</f>
        <v>#VALUE!</v>
      </c>
      <c r="H67" s="66"/>
      <c r="I67" s="66"/>
      <c r="J67" s="1"/>
    </row>
    <row r="68" spans="1:10" ht="15">
      <c r="A68" s="319" t="s">
        <v>1601</v>
      </c>
      <c r="B68" s="321" t="s">
        <v>161</v>
      </c>
      <c r="C68" s="322">
        <v>154.625</v>
      </c>
      <c r="D68" s="319" t="s">
        <v>25</v>
      </c>
      <c r="E68" s="336"/>
      <c r="F68" s="3" t="e">
        <f>B68*#REF!+B68*#REF!</f>
        <v>#VALUE!</v>
      </c>
      <c r="G68" s="65" t="e">
        <f>F68*(1+#REF!)</f>
        <v>#VALUE!</v>
      </c>
      <c r="H68" s="66"/>
      <c r="I68" s="66"/>
      <c r="J68" s="1"/>
    </row>
    <row r="69" spans="1:10" ht="15">
      <c r="A69" s="325" t="s">
        <v>1671</v>
      </c>
      <c r="B69" s="321" t="s">
        <v>163</v>
      </c>
      <c r="C69" s="322">
        <v>18.6</v>
      </c>
      <c r="D69" s="319" t="s">
        <v>25</v>
      </c>
      <c r="E69" s="336"/>
      <c r="F69" s="3" t="e">
        <f>B69*#REF!+B69*#REF!</f>
        <v>#VALUE!</v>
      </c>
      <c r="G69" s="65" t="e">
        <f>F69*(1+#REF!)</f>
        <v>#VALUE!</v>
      </c>
      <c r="H69" s="66"/>
      <c r="I69" s="66"/>
      <c r="J69" s="1"/>
    </row>
    <row r="70" spans="1:10" ht="15">
      <c r="A70" s="571" t="s">
        <v>1444</v>
      </c>
      <c r="B70" s="689" t="s">
        <v>1445</v>
      </c>
      <c r="C70" s="689"/>
      <c r="D70" s="689"/>
      <c r="E70" s="689"/>
      <c r="F70" s="3" t="e">
        <f>B70*#REF!+B70*#REF!</f>
        <v>#VALUE!</v>
      </c>
      <c r="G70" s="65" t="e">
        <f>F70*(1+#REF!)</f>
        <v>#VALUE!</v>
      </c>
      <c r="H70" s="66"/>
      <c r="I70" s="66"/>
      <c r="J70" s="1"/>
    </row>
    <row r="71" spans="1:10" ht="15">
      <c r="A71" s="580" t="s">
        <v>1602</v>
      </c>
      <c r="B71" s="583" t="s">
        <v>1603</v>
      </c>
      <c r="C71" s="583"/>
      <c r="D71" s="583"/>
      <c r="E71" s="583"/>
      <c r="F71" s="3" t="e">
        <f>B71*#REF!+B71*#REF!</f>
        <v>#VALUE!</v>
      </c>
      <c r="G71" s="65" t="e">
        <f>F71*(1+#REF!)</f>
        <v>#VALUE!</v>
      </c>
      <c r="H71" s="66"/>
      <c r="I71" s="66"/>
      <c r="J71" s="1"/>
    </row>
    <row r="72" spans="1:10" ht="15">
      <c r="A72" s="319" t="s">
        <v>1672</v>
      </c>
      <c r="B72" s="300" t="s">
        <v>156</v>
      </c>
      <c r="C72" s="313">
        <v>46.26</v>
      </c>
      <c r="D72" s="308" t="s">
        <v>25</v>
      </c>
      <c r="E72" s="338"/>
      <c r="F72" s="3" t="e">
        <f>B72*#REF!+B72*#REF!</f>
        <v>#VALUE!</v>
      </c>
      <c r="G72" s="65" t="e">
        <f>F72*(1+#REF!)</f>
        <v>#VALUE!</v>
      </c>
      <c r="H72" s="66"/>
      <c r="I72" s="66"/>
      <c r="J72" s="1"/>
    </row>
    <row r="73" spans="1:10" ht="15">
      <c r="A73" s="319" t="s">
        <v>1673</v>
      </c>
      <c r="B73" s="321" t="s">
        <v>109</v>
      </c>
      <c r="C73" s="322">
        <v>2</v>
      </c>
      <c r="D73" s="319" t="s">
        <v>25</v>
      </c>
      <c r="E73" s="336"/>
      <c r="F73" s="3"/>
      <c r="G73" s="65"/>
      <c r="H73" s="66"/>
      <c r="I73" s="66"/>
      <c r="J73" s="1"/>
    </row>
    <row r="74" spans="1:10" ht="15">
      <c r="A74" s="569" t="s">
        <v>1448</v>
      </c>
      <c r="B74" s="689" t="s">
        <v>1449</v>
      </c>
      <c r="C74" s="689"/>
      <c r="D74" s="689"/>
      <c r="E74" s="689"/>
      <c r="F74" s="3" t="e">
        <f>B74*#REF!+B74*#REF!</f>
        <v>#VALUE!</v>
      </c>
      <c r="G74" s="65" t="e">
        <f>F74*(1+#REF!)</f>
        <v>#VALUE!</v>
      </c>
      <c r="H74" s="66"/>
      <c r="I74" s="66"/>
      <c r="J74" s="1"/>
    </row>
    <row r="75" spans="1:10" ht="15">
      <c r="A75" s="657" t="s">
        <v>1605</v>
      </c>
      <c r="B75" s="609" t="s">
        <v>1604</v>
      </c>
      <c r="C75" s="316"/>
      <c r="D75" s="315"/>
      <c r="E75" s="339"/>
      <c r="F75" s="3" t="e">
        <f>B75*#REF!+B75*#REF!</f>
        <v>#VALUE!</v>
      </c>
      <c r="G75" s="65" t="e">
        <f>F75*(1+#REF!)</f>
        <v>#VALUE!</v>
      </c>
      <c r="H75" s="70"/>
      <c r="I75" s="70"/>
      <c r="J75" s="1"/>
    </row>
    <row r="76" spans="1:10" ht="25.5">
      <c r="A76" s="319" t="s">
        <v>1674</v>
      </c>
      <c r="B76" s="321" t="s">
        <v>368</v>
      </c>
      <c r="C76" s="322">
        <v>29</v>
      </c>
      <c r="D76" s="319" t="s">
        <v>25</v>
      </c>
      <c r="E76" s="336"/>
      <c r="F76" s="3" t="e">
        <f>B76*#REF!+B76*#REF!</f>
        <v>#VALUE!</v>
      </c>
      <c r="G76" s="65" t="e">
        <f>F76*(1+#REF!)</f>
        <v>#VALUE!</v>
      </c>
      <c r="H76" s="70"/>
      <c r="I76" s="70"/>
      <c r="J76" s="1"/>
    </row>
    <row r="77" spans="1:10" ht="25.5">
      <c r="A77" s="623" t="s">
        <v>1675</v>
      </c>
      <c r="B77" s="625" t="s">
        <v>164</v>
      </c>
      <c r="C77" s="626">
        <v>47.059999999999995</v>
      </c>
      <c r="D77" s="623" t="s">
        <v>25</v>
      </c>
      <c r="E77" s="367"/>
      <c r="F77" s="3" t="e">
        <f>B77*#REF!+B77*#REF!</f>
        <v>#VALUE!</v>
      </c>
      <c r="G77" s="65"/>
      <c r="H77" s="70"/>
      <c r="I77" s="70"/>
      <c r="J77" s="1"/>
    </row>
    <row r="78" spans="1:10" ht="15">
      <c r="A78" s="608" t="s">
        <v>1607</v>
      </c>
      <c r="B78" s="609" t="s">
        <v>1678</v>
      </c>
      <c r="C78" s="316"/>
      <c r="D78" s="315"/>
      <c r="E78" s="339"/>
      <c r="F78" s="3" t="e">
        <f>B78*#REF!+B78*#REF!</f>
        <v>#VALUE!</v>
      </c>
      <c r="G78" s="65" t="e">
        <f>F78*(1+#REF!)</f>
        <v>#VALUE!</v>
      </c>
      <c r="H78" s="3"/>
      <c r="J78" s="1"/>
    </row>
    <row r="79" spans="1:10" ht="15">
      <c r="A79" s="319" t="s">
        <v>1676</v>
      </c>
      <c r="B79" s="321" t="s">
        <v>171</v>
      </c>
      <c r="C79" s="322">
        <v>64.86</v>
      </c>
      <c r="D79" s="319" t="s">
        <v>25</v>
      </c>
      <c r="E79" s="336"/>
      <c r="F79" s="3" t="e">
        <f>B79*#REF!+B79*#REF!</f>
        <v>#VALUE!</v>
      </c>
      <c r="G79" s="65" t="e">
        <f>F79*(1+#REF!)</f>
        <v>#VALUE!</v>
      </c>
      <c r="H79" s="3"/>
      <c r="J79" s="1"/>
    </row>
    <row r="80" spans="1:14" s="3" customFormat="1" ht="15">
      <c r="A80" s="657" t="s">
        <v>1606</v>
      </c>
      <c r="B80" s="658" t="s">
        <v>1679</v>
      </c>
      <c r="C80" s="330"/>
      <c r="D80" s="328"/>
      <c r="E80" s="366"/>
      <c r="G80" s="65"/>
      <c r="J80" s="1"/>
      <c r="K80" s="1"/>
      <c r="L80" s="1"/>
      <c r="M80" s="1"/>
      <c r="N80" s="1"/>
    </row>
    <row r="81" spans="1:14" s="3" customFormat="1" ht="15">
      <c r="A81" s="319" t="s">
        <v>1677</v>
      </c>
      <c r="B81" s="321" t="s">
        <v>170</v>
      </c>
      <c r="C81" s="322">
        <v>27.636999999999997</v>
      </c>
      <c r="D81" s="319" t="s">
        <v>25</v>
      </c>
      <c r="E81" s="336"/>
      <c r="F81" s="3" t="e">
        <f>B81*#REF!+B81*#REF!</f>
        <v>#VALUE!</v>
      </c>
      <c r="G81" s="65" t="e">
        <f>F81*(1+#REF!)</f>
        <v>#VALUE!</v>
      </c>
      <c r="J81" s="1"/>
      <c r="K81" s="1"/>
      <c r="L81" s="1"/>
      <c r="M81" s="1"/>
      <c r="N81" s="1"/>
    </row>
    <row r="82" spans="1:14" s="3" customFormat="1" ht="15">
      <c r="A82" s="319" t="s">
        <v>1835</v>
      </c>
      <c r="B82" s="321" t="s">
        <v>1836</v>
      </c>
      <c r="C82" s="322">
        <v>1</v>
      </c>
      <c r="D82" s="319" t="s">
        <v>25</v>
      </c>
      <c r="E82" s="336"/>
      <c r="G82" s="65"/>
      <c r="J82" s="1"/>
      <c r="K82" s="1"/>
      <c r="L82" s="1"/>
      <c r="M82" s="1"/>
      <c r="N82" s="1"/>
    </row>
    <row r="83" spans="1:14" s="3" customFormat="1" ht="15">
      <c r="A83" s="657" t="s">
        <v>1680</v>
      </c>
      <c r="B83" s="658" t="s">
        <v>1681</v>
      </c>
      <c r="C83" s="330"/>
      <c r="D83" s="328"/>
      <c r="E83" s="366"/>
      <c r="G83" s="65"/>
      <c r="J83" s="1"/>
      <c r="K83" s="1"/>
      <c r="L83" s="1"/>
      <c r="M83" s="1"/>
      <c r="N83" s="1"/>
    </row>
    <row r="84" spans="1:14" s="3" customFormat="1" ht="15">
      <c r="A84" s="319" t="s">
        <v>1682</v>
      </c>
      <c r="B84" s="321" t="s">
        <v>166</v>
      </c>
      <c r="C84" s="322">
        <v>58.07</v>
      </c>
      <c r="D84" s="319" t="s">
        <v>25</v>
      </c>
      <c r="E84" s="336"/>
      <c r="F84" s="3" t="e">
        <f>B84*#REF!+B84*#REF!</f>
        <v>#VALUE!</v>
      </c>
      <c r="G84" s="65" t="e">
        <f>F84*(1+#REF!)</f>
        <v>#VALUE!</v>
      </c>
      <c r="J84" s="1"/>
      <c r="K84" s="1"/>
      <c r="L84" s="1"/>
      <c r="M84" s="1"/>
      <c r="N84" s="1"/>
    </row>
    <row r="85" spans="1:14" s="3" customFormat="1" ht="15">
      <c r="A85" s="319" t="s">
        <v>1683</v>
      </c>
      <c r="B85" s="300" t="s">
        <v>168</v>
      </c>
      <c r="C85" s="313">
        <v>29</v>
      </c>
      <c r="D85" s="308" t="s">
        <v>25</v>
      </c>
      <c r="E85" s="338"/>
      <c r="F85" s="3" t="e">
        <f>B85*#REF!+B85*#REF!</f>
        <v>#VALUE!</v>
      </c>
      <c r="G85" s="65" t="e">
        <f>F85*(1+#REF!)</f>
        <v>#VALUE!</v>
      </c>
      <c r="J85" s="1"/>
      <c r="K85" s="1"/>
      <c r="L85" s="1"/>
      <c r="M85" s="1"/>
      <c r="N85" s="1"/>
    </row>
    <row r="86" spans="1:14" s="3" customFormat="1" ht="15">
      <c r="A86" s="571" t="s">
        <v>1612</v>
      </c>
      <c r="B86" s="689" t="s">
        <v>1453</v>
      </c>
      <c r="C86" s="689"/>
      <c r="D86" s="689"/>
      <c r="E86" s="689"/>
      <c r="G86" s="65"/>
      <c r="J86" s="1"/>
      <c r="K86" s="1"/>
      <c r="L86" s="1"/>
      <c r="M86" s="1"/>
      <c r="N86" s="1"/>
    </row>
    <row r="87" spans="1:14" s="3" customFormat="1" ht="15">
      <c r="A87" s="660" t="s">
        <v>1613</v>
      </c>
      <c r="B87" s="662" t="s">
        <v>1686</v>
      </c>
      <c r="C87" s="663"/>
      <c r="D87" s="664"/>
      <c r="E87" s="665"/>
      <c r="F87" s="3" t="e">
        <f>B87*#REF!+B87*#REF!</f>
        <v>#VALUE!</v>
      </c>
      <c r="G87" s="65" t="e">
        <f>F87*(1+#REF!)</f>
        <v>#VALUE!</v>
      </c>
      <c r="J87" s="1"/>
      <c r="K87" s="1"/>
      <c r="L87" s="1"/>
      <c r="M87" s="1"/>
      <c r="N87" s="1"/>
    </row>
    <row r="88" spans="1:14" s="3" customFormat="1" ht="15">
      <c r="A88" s="319" t="s">
        <v>1684</v>
      </c>
      <c r="B88" s="321" t="s">
        <v>177</v>
      </c>
      <c r="C88" s="322">
        <v>47.07</v>
      </c>
      <c r="D88" s="348" t="s">
        <v>25</v>
      </c>
      <c r="E88" s="336"/>
      <c r="G88" s="65"/>
      <c r="J88" s="1"/>
      <c r="K88" s="1"/>
      <c r="L88" s="1"/>
      <c r="M88" s="1"/>
      <c r="N88" s="1"/>
    </row>
    <row r="89" spans="1:14" s="3" customFormat="1" ht="15">
      <c r="A89" s="319" t="s">
        <v>1685</v>
      </c>
      <c r="B89" s="321" t="s">
        <v>178</v>
      </c>
      <c r="C89" s="322">
        <v>47.07</v>
      </c>
      <c r="D89" s="348" t="s">
        <v>25</v>
      </c>
      <c r="E89" s="336"/>
      <c r="G89" s="65"/>
      <c r="J89" s="1"/>
      <c r="K89" s="1"/>
      <c r="L89" s="1"/>
      <c r="M89" s="1"/>
      <c r="N89" s="1"/>
    </row>
    <row r="90" spans="1:14" s="3" customFormat="1" ht="15">
      <c r="A90" s="571" t="s">
        <v>1452</v>
      </c>
      <c r="B90" s="689" t="s">
        <v>1616</v>
      </c>
      <c r="C90" s="689"/>
      <c r="D90" s="689"/>
      <c r="E90" s="689"/>
      <c r="G90" s="65"/>
      <c r="J90" s="1"/>
      <c r="K90" s="1"/>
      <c r="L90" s="1"/>
      <c r="M90" s="1"/>
      <c r="N90" s="1"/>
    </row>
    <row r="91" spans="1:14" s="3" customFormat="1" ht="15">
      <c r="A91" s="657" t="s">
        <v>1608</v>
      </c>
      <c r="B91" s="658" t="s">
        <v>1609</v>
      </c>
      <c r="C91" s="330"/>
      <c r="D91" s="328"/>
      <c r="E91" s="366"/>
      <c r="G91" s="65"/>
      <c r="J91" s="1"/>
      <c r="K91" s="1"/>
      <c r="L91" s="1"/>
      <c r="M91" s="1"/>
      <c r="N91" s="1"/>
    </row>
    <row r="92" spans="1:14" s="3" customFormat="1" ht="15">
      <c r="A92" s="668" t="s">
        <v>1687</v>
      </c>
      <c r="B92" s="300" t="s">
        <v>174</v>
      </c>
      <c r="C92" s="313">
        <v>56.64</v>
      </c>
      <c r="D92" s="308" t="s">
        <v>4</v>
      </c>
      <c r="E92" s="338"/>
      <c r="F92" s="3" t="e">
        <f>B92*#REF!+B92*#REF!</f>
        <v>#VALUE!</v>
      </c>
      <c r="G92" s="65" t="e">
        <f>F92*(1+#REF!)</f>
        <v>#VALUE!</v>
      </c>
      <c r="J92" s="1"/>
      <c r="K92" s="1"/>
      <c r="L92" s="1"/>
      <c r="M92" s="1"/>
      <c r="N92" s="1"/>
    </row>
    <row r="93" spans="1:14" s="3" customFormat="1" ht="15">
      <c r="A93" s="657" t="s">
        <v>1610</v>
      </c>
      <c r="B93" s="658" t="s">
        <v>1611</v>
      </c>
      <c r="C93" s="330"/>
      <c r="D93" s="328"/>
      <c r="E93" s="366"/>
      <c r="F93" s="3" t="e">
        <f>B93*#REF!+B93*#REF!</f>
        <v>#VALUE!</v>
      </c>
      <c r="G93" s="65" t="e">
        <f>F93*(1+#REF!)</f>
        <v>#VALUE!</v>
      </c>
      <c r="J93" s="1"/>
      <c r="K93" s="1"/>
      <c r="L93" s="1"/>
      <c r="M93" s="1"/>
      <c r="N93" s="1"/>
    </row>
    <row r="94" spans="1:14" s="3" customFormat="1" ht="25.5">
      <c r="A94" s="654" t="s">
        <v>1688</v>
      </c>
      <c r="B94" s="321" t="s">
        <v>175</v>
      </c>
      <c r="C94" s="322">
        <v>4.6</v>
      </c>
      <c r="D94" s="319" t="s">
        <v>4</v>
      </c>
      <c r="E94" s="336"/>
      <c r="G94" s="65"/>
      <c r="J94" s="1"/>
      <c r="K94" s="1"/>
      <c r="L94" s="1"/>
      <c r="M94" s="1"/>
      <c r="N94" s="1"/>
    </row>
    <row r="95" spans="1:14" s="3" customFormat="1" ht="15">
      <c r="A95" s="571" t="s">
        <v>1460</v>
      </c>
      <c r="B95" s="689" t="s">
        <v>1461</v>
      </c>
      <c r="C95" s="689"/>
      <c r="D95" s="689"/>
      <c r="E95" s="689"/>
      <c r="G95" s="65"/>
      <c r="J95" s="1"/>
      <c r="K95" s="1"/>
      <c r="L95" s="1"/>
      <c r="M95" s="1"/>
      <c r="N95" s="1"/>
    </row>
    <row r="96" spans="1:14" s="3" customFormat="1" ht="15">
      <c r="A96" s="608" t="s">
        <v>1614</v>
      </c>
      <c r="B96" s="671" t="s">
        <v>1615</v>
      </c>
      <c r="C96" s="608"/>
      <c r="D96" s="608"/>
      <c r="E96" s="608"/>
      <c r="G96" s="65"/>
      <c r="J96" s="1"/>
      <c r="K96" s="1"/>
      <c r="L96" s="1"/>
      <c r="M96" s="1"/>
      <c r="N96" s="1"/>
    </row>
    <row r="97" spans="1:14" s="3" customFormat="1" ht="15">
      <c r="A97" s="319" t="s">
        <v>1689</v>
      </c>
      <c r="B97" s="321" t="s">
        <v>1422</v>
      </c>
      <c r="C97" s="322">
        <v>1</v>
      </c>
      <c r="D97" s="355" t="s">
        <v>1435</v>
      </c>
      <c r="E97" s="672"/>
      <c r="G97" s="65"/>
      <c r="J97" s="1"/>
      <c r="K97" s="1"/>
      <c r="L97" s="1"/>
      <c r="M97" s="1"/>
      <c r="N97" s="1"/>
    </row>
    <row r="98" spans="1:14" s="3" customFormat="1" ht="15">
      <c r="A98" s="319" t="s">
        <v>1690</v>
      </c>
      <c r="B98" s="321" t="s">
        <v>1423</v>
      </c>
      <c r="C98" s="322">
        <v>1</v>
      </c>
      <c r="D98" s="355" t="s">
        <v>1435</v>
      </c>
      <c r="E98" s="672"/>
      <c r="F98" s="3" t="e">
        <f>B98*#REF!+B98*#REF!</f>
        <v>#VALUE!</v>
      </c>
      <c r="G98" s="65" t="e">
        <f>F98*(1+#REF!)</f>
        <v>#VALUE!</v>
      </c>
      <c r="J98" s="1"/>
      <c r="K98" s="1"/>
      <c r="L98" s="1"/>
      <c r="M98" s="1"/>
      <c r="N98" s="1"/>
    </row>
    <row r="99" spans="1:14" s="3" customFormat="1" ht="15">
      <c r="A99" s="571" t="s">
        <v>1525</v>
      </c>
      <c r="B99" s="689" t="s">
        <v>1526</v>
      </c>
      <c r="C99" s="571"/>
      <c r="D99" s="571"/>
      <c r="E99" s="571"/>
      <c r="F99" s="3" t="e">
        <f>B99*#REF!+B99*#REF!</f>
        <v>#VALUE!</v>
      </c>
      <c r="G99" s="65" t="e">
        <f>F99*(1+#REF!)</f>
        <v>#VALUE!</v>
      </c>
      <c r="J99" s="1"/>
      <c r="K99" s="1"/>
      <c r="L99" s="1"/>
      <c r="M99" s="1"/>
      <c r="N99" s="1"/>
    </row>
    <row r="100" spans="1:14" s="3" customFormat="1" ht="15">
      <c r="A100" s="571" t="s">
        <v>1519</v>
      </c>
      <c r="B100" s="689" t="s">
        <v>1520</v>
      </c>
      <c r="C100" s="571"/>
      <c r="D100" s="571"/>
      <c r="E100" s="571"/>
      <c r="F100" s="3" t="e">
        <f>B100*#REF!+B100*#REF!</f>
        <v>#VALUE!</v>
      </c>
      <c r="G100" s="65" t="e">
        <f>F100*(1+#REF!)</f>
        <v>#VALUE!</v>
      </c>
      <c r="J100" s="1"/>
      <c r="K100" s="1"/>
      <c r="L100" s="1"/>
      <c r="M100" s="1"/>
      <c r="N100" s="1"/>
    </row>
    <row r="101" spans="1:14" s="3" customFormat="1" ht="15">
      <c r="A101" s="578" t="s">
        <v>1522</v>
      </c>
      <c r="B101" s="579" t="s">
        <v>1521</v>
      </c>
      <c r="C101" s="578"/>
      <c r="D101" s="578"/>
      <c r="E101" s="578"/>
      <c r="F101" s="3" t="e">
        <f>B101*#REF!+B101*#REF!</f>
        <v>#VALUE!</v>
      </c>
      <c r="G101" s="65" t="e">
        <f>F101*(1+#REF!)</f>
        <v>#VALUE!</v>
      </c>
      <c r="J101" s="1"/>
      <c r="K101" s="1"/>
      <c r="L101" s="1"/>
      <c r="M101" s="1"/>
      <c r="N101" s="1"/>
    </row>
    <row r="102" spans="1:14" s="3" customFormat="1" ht="15">
      <c r="A102" s="326" t="s">
        <v>1691</v>
      </c>
      <c r="B102" s="357" t="s">
        <v>265</v>
      </c>
      <c r="C102" s="322">
        <v>6</v>
      </c>
      <c r="D102" s="319" t="s">
        <v>4</v>
      </c>
      <c r="E102" s="319"/>
      <c r="F102" s="3" t="e">
        <f>B102*#REF!+B102*#REF!</f>
        <v>#VALUE!</v>
      </c>
      <c r="G102" s="65" t="e">
        <f>F102*(1+#REF!)</f>
        <v>#VALUE!</v>
      </c>
      <c r="J102" s="1"/>
      <c r="K102" s="1"/>
      <c r="L102" s="1"/>
      <c r="M102" s="1"/>
      <c r="N102" s="1"/>
    </row>
    <row r="103" spans="1:14" s="3" customFormat="1" ht="15">
      <c r="A103" s="326" t="s">
        <v>1692</v>
      </c>
      <c r="B103" s="306" t="s">
        <v>266</v>
      </c>
      <c r="C103" s="313">
        <v>11.6</v>
      </c>
      <c r="D103" s="308" t="s">
        <v>4</v>
      </c>
      <c r="E103" s="308"/>
      <c r="F103" s="3" t="e">
        <f>B103*#REF!+B103*#REF!</f>
        <v>#VALUE!</v>
      </c>
      <c r="G103" s="65" t="e">
        <f>F103*(1+#REF!)</f>
        <v>#VALUE!</v>
      </c>
      <c r="J103" s="1"/>
      <c r="K103" s="1"/>
      <c r="L103" s="1"/>
      <c r="M103" s="1"/>
      <c r="N103" s="1"/>
    </row>
    <row r="104" spans="1:14" s="3" customFormat="1" ht="15">
      <c r="A104" s="326" t="s">
        <v>1693</v>
      </c>
      <c r="B104" s="357" t="s">
        <v>267</v>
      </c>
      <c r="C104" s="322">
        <v>31.43</v>
      </c>
      <c r="D104" s="319" t="s">
        <v>4</v>
      </c>
      <c r="E104" s="319"/>
      <c r="G104" s="65"/>
      <c r="J104" s="1"/>
      <c r="K104" s="1"/>
      <c r="L104" s="1"/>
      <c r="M104" s="1"/>
      <c r="N104" s="1"/>
    </row>
    <row r="105" spans="1:14" s="3" customFormat="1" ht="15">
      <c r="A105" s="326" t="s">
        <v>1694</v>
      </c>
      <c r="B105" s="306" t="s">
        <v>268</v>
      </c>
      <c r="C105" s="313">
        <v>6</v>
      </c>
      <c r="D105" s="308" t="s">
        <v>4</v>
      </c>
      <c r="E105" s="308"/>
      <c r="F105" s="3" t="e">
        <f>B105*#REF!+B105*#REF!</f>
        <v>#VALUE!</v>
      </c>
      <c r="G105" s="65" t="e">
        <f>F105*(1+#REF!)</f>
        <v>#VALUE!</v>
      </c>
      <c r="J105" s="1"/>
      <c r="K105" s="1"/>
      <c r="L105" s="1"/>
      <c r="M105" s="1"/>
      <c r="N105" s="1"/>
    </row>
    <row r="106" spans="1:14" s="3" customFormat="1" ht="15">
      <c r="A106" s="326" t="s">
        <v>1695</v>
      </c>
      <c r="B106" s="357" t="s">
        <v>269</v>
      </c>
      <c r="C106" s="322">
        <v>35.85</v>
      </c>
      <c r="D106" s="319" t="s">
        <v>4</v>
      </c>
      <c r="E106" s="319"/>
      <c r="F106" s="3" t="e">
        <f>B106*#REF!+B106*#REF!</f>
        <v>#VALUE!</v>
      </c>
      <c r="G106" s="65" t="e">
        <f>F106*(1+#REF!)</f>
        <v>#VALUE!</v>
      </c>
      <c r="J106" s="1"/>
      <c r="K106" s="1"/>
      <c r="L106" s="1"/>
      <c r="M106" s="1"/>
      <c r="N106" s="1"/>
    </row>
    <row r="107" spans="1:14" s="3" customFormat="1" ht="15">
      <c r="A107" s="580" t="s">
        <v>1523</v>
      </c>
      <c r="B107" s="583" t="s">
        <v>1524</v>
      </c>
      <c r="C107" s="580"/>
      <c r="D107" s="580"/>
      <c r="E107" s="580"/>
      <c r="F107" s="3" t="e">
        <f>B107*#REF!+B107*#REF!</f>
        <v>#VALUE!</v>
      </c>
      <c r="G107" s="65" t="e">
        <f>F107*(1+#REF!)</f>
        <v>#VALUE!</v>
      </c>
      <c r="J107" s="1"/>
      <c r="K107" s="1"/>
      <c r="L107" s="1"/>
      <c r="M107" s="1"/>
      <c r="N107" s="1"/>
    </row>
    <row r="108" spans="1:14" s="3" customFormat="1" ht="15">
      <c r="A108" s="681" t="s">
        <v>1696</v>
      </c>
      <c r="B108" s="603" t="s">
        <v>1221</v>
      </c>
      <c r="C108" s="313">
        <v>2</v>
      </c>
      <c r="D108" s="325" t="s">
        <v>5</v>
      </c>
      <c r="E108" s="325"/>
      <c r="F108" s="3" t="e">
        <f>B108*#REF!+B108*#REF!</f>
        <v>#VALUE!</v>
      </c>
      <c r="G108" s="65" t="e">
        <f>F108*(1+#REF!)</f>
        <v>#VALUE!</v>
      </c>
      <c r="J108" s="1"/>
      <c r="K108" s="1"/>
      <c r="L108" s="1"/>
      <c r="M108" s="1"/>
      <c r="N108" s="1"/>
    </row>
    <row r="109" spans="1:14" s="3" customFormat="1" ht="15">
      <c r="A109" s="681" t="s">
        <v>1697</v>
      </c>
      <c r="B109" s="357" t="s">
        <v>239</v>
      </c>
      <c r="C109" s="322">
        <v>4</v>
      </c>
      <c r="D109" s="319" t="s">
        <v>5</v>
      </c>
      <c r="E109" s="319"/>
      <c r="F109" s="3" t="e">
        <f>B109*#REF!+B109*#REF!</f>
        <v>#VALUE!</v>
      </c>
      <c r="G109" s="65" t="e">
        <f>F109*(1+#REF!)</f>
        <v>#VALUE!</v>
      </c>
      <c r="J109" s="1"/>
      <c r="K109" s="1"/>
      <c r="L109" s="1"/>
      <c r="M109" s="1"/>
      <c r="N109" s="1"/>
    </row>
    <row r="110" spans="1:14" s="3" customFormat="1" ht="15">
      <c r="A110" s="681" t="s">
        <v>1698</v>
      </c>
      <c r="B110" s="306" t="s">
        <v>240</v>
      </c>
      <c r="C110" s="313">
        <v>18</v>
      </c>
      <c r="D110" s="308" t="s">
        <v>5</v>
      </c>
      <c r="E110" s="308"/>
      <c r="F110" s="3" t="e">
        <f>B110*#REF!+B110*#REF!</f>
        <v>#VALUE!</v>
      </c>
      <c r="G110" s="65" t="e">
        <f>F110*(1+#REF!)</f>
        <v>#VALUE!</v>
      </c>
      <c r="J110" s="1"/>
      <c r="K110" s="1"/>
      <c r="L110" s="1"/>
      <c r="M110" s="1"/>
      <c r="N110" s="1"/>
    </row>
    <row r="111" spans="1:14" s="3" customFormat="1" ht="15">
      <c r="A111" s="681" t="s">
        <v>1699</v>
      </c>
      <c r="B111" s="357" t="s">
        <v>241</v>
      </c>
      <c r="C111" s="322">
        <v>2</v>
      </c>
      <c r="D111" s="319" t="s">
        <v>5</v>
      </c>
      <c r="E111" s="319"/>
      <c r="F111" s="3" t="e">
        <f>B111*#REF!+B111*#REF!</f>
        <v>#VALUE!</v>
      </c>
      <c r="G111" s="65" t="e">
        <f>F111*(1+#REF!)</f>
        <v>#VALUE!</v>
      </c>
      <c r="J111" s="1"/>
      <c r="K111" s="1"/>
      <c r="L111" s="1"/>
      <c r="M111" s="1"/>
      <c r="N111" s="1"/>
    </row>
    <row r="112" spans="1:14" s="3" customFormat="1" ht="15">
      <c r="A112" s="681" t="s">
        <v>1828</v>
      </c>
      <c r="B112" s="357" t="s">
        <v>1834</v>
      </c>
      <c r="C112" s="322">
        <v>2</v>
      </c>
      <c r="D112" s="319" t="s">
        <v>5</v>
      </c>
      <c r="E112" s="319"/>
      <c r="F112" s="3" t="e">
        <f>B112*#REF!+B112*#REF!</f>
        <v>#VALUE!</v>
      </c>
      <c r="G112" s="65" t="e">
        <f>F112*(1+#REF!)</f>
        <v>#VALUE!</v>
      </c>
      <c r="J112" s="1"/>
      <c r="K112" s="1"/>
      <c r="L112" s="1"/>
      <c r="M112" s="1"/>
      <c r="N112" s="1"/>
    </row>
    <row r="113" spans="1:14" s="3" customFormat="1" ht="15">
      <c r="A113" s="580" t="s">
        <v>1527</v>
      </c>
      <c r="B113" s="583" t="s">
        <v>1528</v>
      </c>
      <c r="C113" s="580"/>
      <c r="D113" s="580"/>
      <c r="E113" s="580"/>
      <c r="F113" s="3" t="e">
        <f>B113*#REF!+B113*#REF!</f>
        <v>#VALUE!</v>
      </c>
      <c r="G113" s="65" t="e">
        <f>F113*(1+#REF!)</f>
        <v>#VALUE!</v>
      </c>
      <c r="J113" s="1"/>
      <c r="K113" s="1"/>
      <c r="L113" s="1"/>
      <c r="M113" s="1"/>
      <c r="N113" s="1"/>
    </row>
    <row r="114" spans="1:14" s="3" customFormat="1" ht="27" customHeight="1">
      <c r="A114" s="681" t="s">
        <v>1700</v>
      </c>
      <c r="B114" s="306" t="s">
        <v>242</v>
      </c>
      <c r="C114" s="313">
        <v>3</v>
      </c>
      <c r="D114" s="308" t="s">
        <v>5</v>
      </c>
      <c r="E114" s="308"/>
      <c r="F114" s="3" t="e">
        <f>B114*#REF!+B114*#REF!</f>
        <v>#VALUE!</v>
      </c>
      <c r="G114" s="65" t="e">
        <f>F114*(1+#REF!)</f>
        <v>#VALUE!</v>
      </c>
      <c r="J114" s="1"/>
      <c r="K114" s="1"/>
      <c r="L114" s="1"/>
      <c r="M114" s="1"/>
      <c r="N114" s="1"/>
    </row>
    <row r="115" spans="1:14" s="3" customFormat="1" ht="15">
      <c r="A115" s="681" t="s">
        <v>1701</v>
      </c>
      <c r="B115" s="357" t="s">
        <v>1222</v>
      </c>
      <c r="C115" s="322">
        <v>1</v>
      </c>
      <c r="D115" s="319" t="s">
        <v>5</v>
      </c>
      <c r="E115" s="319"/>
      <c r="F115" s="3" t="e">
        <f>B115*#REF!+B115*#REF!</f>
        <v>#VALUE!</v>
      </c>
      <c r="G115" s="65" t="e">
        <f>F115*(1+#REF!)</f>
        <v>#VALUE!</v>
      </c>
      <c r="J115" s="1"/>
      <c r="K115" s="1"/>
      <c r="L115" s="1"/>
      <c r="M115" s="1"/>
      <c r="N115" s="1"/>
    </row>
    <row r="116" spans="1:14" s="3" customFormat="1" ht="15">
      <c r="A116" s="681" t="s">
        <v>1702</v>
      </c>
      <c r="B116" s="357" t="s">
        <v>1223</v>
      </c>
      <c r="C116" s="322">
        <v>1</v>
      </c>
      <c r="D116" s="319" t="s">
        <v>5</v>
      </c>
      <c r="E116" s="319"/>
      <c r="F116" s="3" t="e">
        <f>B116*#REF!+B116*#REF!</f>
        <v>#VALUE!</v>
      </c>
      <c r="G116" s="65" t="e">
        <f>F116*(1+#REF!)</f>
        <v>#VALUE!</v>
      </c>
      <c r="J116" s="1"/>
      <c r="K116" s="1"/>
      <c r="L116" s="1"/>
      <c r="M116" s="1"/>
      <c r="N116" s="1"/>
    </row>
    <row r="117" spans="1:14" s="3" customFormat="1" ht="15">
      <c r="A117" s="681" t="s">
        <v>1703</v>
      </c>
      <c r="B117" s="357" t="s">
        <v>1389</v>
      </c>
      <c r="C117" s="322">
        <v>1</v>
      </c>
      <c r="D117" s="322" t="s">
        <v>5</v>
      </c>
      <c r="E117" s="322"/>
      <c r="F117" s="3" t="e">
        <f>B117*#REF!+B117*#REF!</f>
        <v>#VALUE!</v>
      </c>
      <c r="G117" s="65" t="e">
        <f>F117*(1+#REF!)</f>
        <v>#VALUE!</v>
      </c>
      <c r="J117" s="1"/>
      <c r="K117" s="1"/>
      <c r="L117" s="1"/>
      <c r="M117" s="1"/>
      <c r="N117" s="1"/>
    </row>
    <row r="118" spans="1:14" s="3" customFormat="1" ht="15">
      <c r="A118" s="681" t="s">
        <v>1704</v>
      </c>
      <c r="B118" s="357" t="s">
        <v>1390</v>
      </c>
      <c r="C118" s="322">
        <v>1</v>
      </c>
      <c r="D118" s="322" t="s">
        <v>5</v>
      </c>
      <c r="E118" s="322"/>
      <c r="F118" s="3" t="e">
        <f>B118*#REF!+B118*#REF!</f>
        <v>#VALUE!</v>
      </c>
      <c r="G118" s="65" t="e">
        <f>F118*(1+#REF!)</f>
        <v>#VALUE!</v>
      </c>
      <c r="J118" s="1"/>
      <c r="K118" s="1"/>
      <c r="L118" s="1"/>
      <c r="M118" s="1"/>
      <c r="N118" s="1"/>
    </row>
    <row r="119" spans="1:14" s="3" customFormat="1" ht="15">
      <c r="A119" s="681" t="s">
        <v>1705</v>
      </c>
      <c r="B119" s="357" t="s">
        <v>1394</v>
      </c>
      <c r="C119" s="322">
        <v>1</v>
      </c>
      <c r="D119" s="322" t="s">
        <v>5</v>
      </c>
      <c r="E119" s="322"/>
      <c r="F119" s="3" t="e">
        <f>B119*#REF!+B119*#REF!</f>
        <v>#VALUE!</v>
      </c>
      <c r="G119" s="65" t="e">
        <f>F119*(1+#REF!)</f>
        <v>#VALUE!</v>
      </c>
      <c r="J119" s="1"/>
      <c r="K119" s="1"/>
      <c r="L119" s="1"/>
      <c r="M119" s="1"/>
      <c r="N119" s="1"/>
    </row>
    <row r="120" spans="1:14" s="3" customFormat="1" ht="15">
      <c r="A120" s="578" t="s">
        <v>1529</v>
      </c>
      <c r="B120" s="579" t="s">
        <v>1530</v>
      </c>
      <c r="C120" s="578"/>
      <c r="D120" s="578"/>
      <c r="E120" s="578"/>
      <c r="F120" s="3" t="e">
        <f>B120*#REF!+B120*#REF!</f>
        <v>#VALUE!</v>
      </c>
      <c r="G120" s="65" t="e">
        <f>F120*(1+#REF!)</f>
        <v>#VALUE!</v>
      </c>
      <c r="J120" s="1"/>
      <c r="K120" s="1"/>
      <c r="L120" s="1"/>
      <c r="M120" s="1"/>
      <c r="N120" s="1"/>
    </row>
    <row r="121" spans="1:14" s="3" customFormat="1" ht="15">
      <c r="A121" s="681" t="s">
        <v>1706</v>
      </c>
      <c r="B121" s="357" t="s">
        <v>243</v>
      </c>
      <c r="C121" s="322">
        <v>17</v>
      </c>
      <c r="D121" s="319" t="s">
        <v>5</v>
      </c>
      <c r="E121" s="319"/>
      <c r="F121" s="3" t="e">
        <f>B121*#REF!+B121*#REF!</f>
        <v>#VALUE!</v>
      </c>
      <c r="G121" s="65" t="e">
        <f>F121*(1+#REF!)</f>
        <v>#VALUE!</v>
      </c>
      <c r="J121" s="1"/>
      <c r="K121" s="1"/>
      <c r="L121" s="1"/>
      <c r="M121" s="1"/>
      <c r="N121" s="1"/>
    </row>
    <row r="122" spans="1:14" s="3" customFormat="1" ht="15">
      <c r="A122" s="681" t="s">
        <v>1707</v>
      </c>
      <c r="B122" s="306" t="s">
        <v>244</v>
      </c>
      <c r="C122" s="313">
        <v>6</v>
      </c>
      <c r="D122" s="308" t="s">
        <v>5</v>
      </c>
      <c r="E122" s="308"/>
      <c r="F122" s="3" t="e">
        <f>B122*#REF!+B122*#REF!</f>
        <v>#VALUE!</v>
      </c>
      <c r="G122" s="65" t="e">
        <f>F122*(1+#REF!)</f>
        <v>#VALUE!</v>
      </c>
      <c r="J122" s="1"/>
      <c r="K122" s="1"/>
      <c r="L122" s="1"/>
      <c r="M122" s="1"/>
      <c r="N122" s="1"/>
    </row>
    <row r="123" spans="1:14" s="3" customFormat="1" ht="15">
      <c r="A123" s="681" t="s">
        <v>1708</v>
      </c>
      <c r="B123" s="357" t="s">
        <v>245</v>
      </c>
      <c r="C123" s="322">
        <v>3</v>
      </c>
      <c r="D123" s="319" t="s">
        <v>5</v>
      </c>
      <c r="E123" s="319"/>
      <c r="F123" s="3" t="e">
        <f>B123*#REF!+B123*#REF!</f>
        <v>#VALUE!</v>
      </c>
      <c r="G123" s="65" t="e">
        <f>F123*(1+#REF!)</f>
        <v>#VALUE!</v>
      </c>
      <c r="J123" s="1"/>
      <c r="K123" s="1"/>
      <c r="L123" s="1"/>
      <c r="M123" s="1"/>
      <c r="N123" s="1"/>
    </row>
    <row r="124" spans="1:14" s="3" customFormat="1" ht="15">
      <c r="A124" s="681" t="s">
        <v>1709</v>
      </c>
      <c r="B124" s="357" t="s">
        <v>1317</v>
      </c>
      <c r="C124" s="322">
        <f>8+1</f>
        <v>9</v>
      </c>
      <c r="D124" s="319" t="s">
        <v>5</v>
      </c>
      <c r="E124" s="319"/>
      <c r="F124" s="3" t="e">
        <f>B124*#REF!+B124*#REF!</f>
        <v>#VALUE!</v>
      </c>
      <c r="G124" s="65" t="e">
        <f>F124*(1+#REF!)</f>
        <v>#VALUE!</v>
      </c>
      <c r="J124" s="1"/>
      <c r="K124" s="1"/>
      <c r="L124" s="1"/>
      <c r="M124" s="1"/>
      <c r="N124" s="1"/>
    </row>
    <row r="125" spans="1:14" s="3" customFormat="1" ht="15">
      <c r="A125" s="580" t="s">
        <v>1531</v>
      </c>
      <c r="B125" s="583" t="s">
        <v>1532</v>
      </c>
      <c r="C125" s="580"/>
      <c r="D125" s="580"/>
      <c r="E125" s="580"/>
      <c r="F125" s="3" t="e">
        <f>B125*#REF!+B125*#REF!</f>
        <v>#VALUE!</v>
      </c>
      <c r="G125" s="65" t="e">
        <f>F125*(1+#REF!)</f>
        <v>#VALUE!</v>
      </c>
      <c r="J125" s="1"/>
      <c r="K125" s="1"/>
      <c r="L125" s="1"/>
      <c r="M125" s="1"/>
      <c r="N125" s="1"/>
    </row>
    <row r="126" spans="1:14" s="3" customFormat="1" ht="15">
      <c r="A126" s="681" t="s">
        <v>1710</v>
      </c>
      <c r="B126" s="357" t="s">
        <v>246</v>
      </c>
      <c r="C126" s="322">
        <v>1</v>
      </c>
      <c r="D126" s="319" t="s">
        <v>5</v>
      </c>
      <c r="E126" s="319"/>
      <c r="F126" s="3" t="e">
        <f>B126*#REF!+B126*#REF!</f>
        <v>#VALUE!</v>
      </c>
      <c r="G126" s="65" t="e">
        <f>F126*(1+#REF!)</f>
        <v>#VALUE!</v>
      </c>
      <c r="J126" s="1"/>
      <c r="K126" s="1"/>
      <c r="L126" s="1"/>
      <c r="M126" s="1"/>
      <c r="N126" s="1"/>
    </row>
    <row r="127" spans="1:14" s="3" customFormat="1" ht="15">
      <c r="A127" s="681" t="s">
        <v>1827</v>
      </c>
      <c r="B127" s="357" t="s">
        <v>1393</v>
      </c>
      <c r="C127" s="322">
        <v>2</v>
      </c>
      <c r="D127" s="322" t="s">
        <v>5</v>
      </c>
      <c r="E127" s="322"/>
      <c r="G127" s="65"/>
      <c r="J127" s="1"/>
      <c r="K127" s="1"/>
      <c r="L127" s="1"/>
      <c r="M127" s="1"/>
      <c r="N127" s="1"/>
    </row>
    <row r="128" spans="1:14" s="3" customFormat="1" ht="15">
      <c r="A128" s="580" t="s">
        <v>1533</v>
      </c>
      <c r="B128" s="583" t="s">
        <v>1534</v>
      </c>
      <c r="C128" s="583"/>
      <c r="D128" s="583"/>
      <c r="E128" s="583"/>
      <c r="F128" s="3" t="e">
        <f>B128*#REF!+B128*#REF!</f>
        <v>#VALUE!</v>
      </c>
      <c r="G128" s="65" t="e">
        <f>F128*(1+#REF!)</f>
        <v>#VALUE!</v>
      </c>
      <c r="J128" s="1"/>
      <c r="K128" s="1"/>
      <c r="L128" s="1"/>
      <c r="M128" s="1"/>
      <c r="N128" s="1"/>
    </row>
    <row r="129" spans="1:14" s="3" customFormat="1" ht="15">
      <c r="A129" s="681" t="s">
        <v>1711</v>
      </c>
      <c r="B129" s="357" t="s">
        <v>247</v>
      </c>
      <c r="C129" s="322">
        <v>5</v>
      </c>
      <c r="D129" s="319" t="s">
        <v>5</v>
      </c>
      <c r="E129" s="319"/>
      <c r="F129" s="3" t="e">
        <f>B129*#REF!+B129*#REF!</f>
        <v>#VALUE!</v>
      </c>
      <c r="G129" s="65" t="e">
        <f>F129*(1+#REF!)</f>
        <v>#VALUE!</v>
      </c>
      <c r="J129" s="1"/>
      <c r="K129" s="1"/>
      <c r="L129" s="1"/>
      <c r="M129" s="1"/>
      <c r="N129" s="1"/>
    </row>
    <row r="130" spans="1:14" s="3" customFormat="1" ht="15">
      <c r="A130" s="681" t="s">
        <v>1712</v>
      </c>
      <c r="B130" s="306" t="s">
        <v>248</v>
      </c>
      <c r="C130" s="313">
        <v>4</v>
      </c>
      <c r="D130" s="308" t="s">
        <v>5</v>
      </c>
      <c r="E130" s="308"/>
      <c r="F130" s="3" t="e">
        <f>B130*#REF!+B130*#REF!</f>
        <v>#VALUE!</v>
      </c>
      <c r="G130" s="65" t="e">
        <f>F130*(1+#REF!)</f>
        <v>#VALUE!</v>
      </c>
      <c r="J130" s="1"/>
      <c r="K130" s="1"/>
      <c r="L130" s="1"/>
      <c r="M130" s="1"/>
      <c r="N130" s="1"/>
    </row>
    <row r="131" spans="1:14" s="3" customFormat="1" ht="15">
      <c r="A131" s="681" t="s">
        <v>1713</v>
      </c>
      <c r="B131" s="357" t="s">
        <v>249</v>
      </c>
      <c r="C131" s="322">
        <v>2</v>
      </c>
      <c r="D131" s="319" t="s">
        <v>5</v>
      </c>
      <c r="E131" s="319"/>
      <c r="F131" s="3" t="e">
        <f>B131*#REF!+B131*#REF!</f>
        <v>#VALUE!</v>
      </c>
      <c r="G131" s="65" t="e">
        <f>F131*(1+#REF!)</f>
        <v>#VALUE!</v>
      </c>
      <c r="J131" s="1"/>
      <c r="K131" s="1"/>
      <c r="L131" s="1"/>
      <c r="M131" s="1"/>
      <c r="N131" s="1"/>
    </row>
    <row r="132" spans="1:14" s="3" customFormat="1" ht="15">
      <c r="A132" s="681" t="s">
        <v>1714</v>
      </c>
      <c r="B132" s="306" t="s">
        <v>250</v>
      </c>
      <c r="C132" s="322">
        <v>2</v>
      </c>
      <c r="D132" s="319" t="s">
        <v>5</v>
      </c>
      <c r="E132" s="319"/>
      <c r="F132" s="3" t="e">
        <f>B132*#REF!+B132*#REF!</f>
        <v>#VALUE!</v>
      </c>
      <c r="G132" s="65" t="e">
        <f>F132*(1+#REF!)</f>
        <v>#VALUE!</v>
      </c>
      <c r="J132" s="1"/>
      <c r="K132" s="1"/>
      <c r="L132" s="1"/>
      <c r="M132" s="1"/>
      <c r="N132" s="1"/>
    </row>
    <row r="133" spans="1:14" s="3" customFormat="1" ht="15">
      <c r="A133" s="681" t="s">
        <v>1715</v>
      </c>
      <c r="B133" s="357" t="s">
        <v>1224</v>
      </c>
      <c r="C133" s="313">
        <v>1</v>
      </c>
      <c r="D133" s="308" t="s">
        <v>5</v>
      </c>
      <c r="E133" s="308"/>
      <c r="F133" s="3" t="e">
        <f>B133*#REF!+B133*#REF!</f>
        <v>#VALUE!</v>
      </c>
      <c r="G133" s="65" t="e">
        <f>F133*(1+#REF!)</f>
        <v>#VALUE!</v>
      </c>
      <c r="J133" s="1"/>
      <c r="K133" s="1"/>
      <c r="L133" s="1"/>
      <c r="M133" s="1"/>
      <c r="N133" s="1"/>
    </row>
    <row r="134" spans="1:14" s="3" customFormat="1" ht="15">
      <c r="A134" s="681" t="s">
        <v>1716</v>
      </c>
      <c r="B134" s="357" t="s">
        <v>1225</v>
      </c>
      <c r="C134" s="322">
        <v>1</v>
      </c>
      <c r="D134" s="319" t="s">
        <v>5</v>
      </c>
      <c r="E134" s="319"/>
      <c r="F134" s="3" t="e">
        <f>B134*#REF!+B134*#REF!</f>
        <v>#VALUE!</v>
      </c>
      <c r="G134" s="65" t="e">
        <f>F134*(1+#REF!)</f>
        <v>#VALUE!</v>
      </c>
      <c r="J134" s="1"/>
      <c r="K134" s="1"/>
      <c r="L134" s="1"/>
      <c r="M134" s="1"/>
      <c r="N134" s="1"/>
    </row>
    <row r="135" spans="1:14" s="3" customFormat="1" ht="15">
      <c r="A135" s="681" t="s">
        <v>1717</v>
      </c>
      <c r="B135" s="357" t="s">
        <v>251</v>
      </c>
      <c r="C135" s="322">
        <v>5</v>
      </c>
      <c r="D135" s="319" t="s">
        <v>5</v>
      </c>
      <c r="E135" s="319"/>
      <c r="F135" s="3" t="e">
        <f>B135*#REF!+B135*#REF!</f>
        <v>#VALUE!</v>
      </c>
      <c r="G135" s="65" t="e">
        <f>F135*(1+#REF!)</f>
        <v>#VALUE!</v>
      </c>
      <c r="J135" s="1"/>
      <c r="K135" s="1"/>
      <c r="L135" s="1"/>
      <c r="M135" s="1"/>
      <c r="N135" s="1"/>
    </row>
    <row r="136" spans="1:14" s="3" customFormat="1" ht="15">
      <c r="A136" s="681" t="s">
        <v>1825</v>
      </c>
      <c r="B136" s="357" t="s">
        <v>1391</v>
      </c>
      <c r="C136" s="322">
        <v>1</v>
      </c>
      <c r="D136" s="322" t="s">
        <v>5</v>
      </c>
      <c r="E136" s="322"/>
      <c r="G136" s="65"/>
      <c r="J136" s="1"/>
      <c r="K136" s="1"/>
      <c r="L136" s="1"/>
      <c r="M136" s="1"/>
      <c r="N136" s="1"/>
    </row>
    <row r="137" spans="1:14" s="3" customFormat="1" ht="15">
      <c r="A137" s="681" t="s">
        <v>1826</v>
      </c>
      <c r="B137" s="357" t="s">
        <v>1392</v>
      </c>
      <c r="C137" s="322">
        <v>1</v>
      </c>
      <c r="D137" s="322" t="s">
        <v>5</v>
      </c>
      <c r="E137" s="322"/>
      <c r="G137" s="65"/>
      <c r="J137" s="1"/>
      <c r="K137" s="1"/>
      <c r="L137" s="1"/>
      <c r="M137" s="1"/>
      <c r="N137" s="1"/>
    </row>
    <row r="138" spans="1:14" s="3" customFormat="1" ht="15">
      <c r="A138" s="571" t="s">
        <v>1559</v>
      </c>
      <c r="B138" s="689" t="s">
        <v>1560</v>
      </c>
      <c r="C138" s="571"/>
      <c r="D138" s="571"/>
      <c r="E138" s="571"/>
      <c r="F138" s="3" t="e">
        <f>B138*#REF!+B138*#REF!</f>
        <v>#VALUE!</v>
      </c>
      <c r="G138" s="65" t="e">
        <f>F138*(1+#REF!)</f>
        <v>#VALUE!</v>
      </c>
      <c r="J138" s="1"/>
      <c r="K138" s="1"/>
      <c r="L138" s="1"/>
      <c r="M138" s="1"/>
      <c r="N138" s="1"/>
    </row>
    <row r="139" spans="1:14" s="3" customFormat="1" ht="15">
      <c r="A139" s="580" t="s">
        <v>1561</v>
      </c>
      <c r="B139" s="583" t="s">
        <v>1562</v>
      </c>
      <c r="C139" s="583"/>
      <c r="D139" s="583"/>
      <c r="E139" s="583"/>
      <c r="F139" s="3" t="e">
        <f>B139*#REF!+B139*#REF!</f>
        <v>#VALUE!</v>
      </c>
      <c r="G139" s="65" t="e">
        <f>F139*(1+#REF!)</f>
        <v>#VALUE!</v>
      </c>
      <c r="J139" s="1"/>
      <c r="K139" s="1"/>
      <c r="L139" s="1"/>
      <c r="M139" s="1"/>
      <c r="N139" s="1"/>
    </row>
    <row r="140" spans="1:14" s="3" customFormat="1" ht="25.5">
      <c r="A140" s="681" t="s">
        <v>1718</v>
      </c>
      <c r="B140" s="321" t="s">
        <v>204</v>
      </c>
      <c r="C140" s="322">
        <v>6</v>
      </c>
      <c r="D140" s="319" t="s">
        <v>5</v>
      </c>
      <c r="E140" s="319"/>
      <c r="F140" s="3" t="e">
        <f>B140*#REF!+B140*#REF!</f>
        <v>#VALUE!</v>
      </c>
      <c r="G140" s="65" t="e">
        <f>F140*(1+#REF!)</f>
        <v>#VALUE!</v>
      </c>
      <c r="J140" s="1"/>
      <c r="K140" s="1"/>
      <c r="L140" s="1"/>
      <c r="M140" s="1"/>
      <c r="N140" s="1"/>
    </row>
    <row r="141" spans="1:14" s="3" customFormat="1" ht="25.5">
      <c r="A141" s="681" t="s">
        <v>1719</v>
      </c>
      <c r="B141" s="300" t="s">
        <v>202</v>
      </c>
      <c r="C141" s="313">
        <v>2</v>
      </c>
      <c r="D141" s="308" t="s">
        <v>5</v>
      </c>
      <c r="E141" s="308"/>
      <c r="F141" s="3" t="e">
        <f>B141*#REF!+B141*#REF!</f>
        <v>#VALUE!</v>
      </c>
      <c r="G141" s="65" t="e">
        <f>F141*(1+#REF!)</f>
        <v>#VALUE!</v>
      </c>
      <c r="J141" s="1"/>
      <c r="K141" s="1"/>
      <c r="L141" s="1"/>
      <c r="M141" s="1"/>
      <c r="N141" s="1"/>
    </row>
    <row r="142" spans="1:14" s="3" customFormat="1" ht="15">
      <c r="A142" s="580" t="s">
        <v>1563</v>
      </c>
      <c r="B142" s="583" t="s">
        <v>1564</v>
      </c>
      <c r="C142" s="583"/>
      <c r="D142" s="583"/>
      <c r="E142" s="583"/>
      <c r="F142" s="3" t="e">
        <f>B142*#REF!+B142*#REF!</f>
        <v>#VALUE!</v>
      </c>
      <c r="G142" s="65" t="e">
        <f>F142*(1+#REF!)</f>
        <v>#VALUE!</v>
      </c>
      <c r="J142" s="1"/>
      <c r="K142" s="1"/>
      <c r="L142" s="1"/>
      <c r="M142" s="1"/>
      <c r="N142" s="1"/>
    </row>
    <row r="143" spans="1:14" s="3" customFormat="1" ht="25.5">
      <c r="A143" s="681" t="s">
        <v>1720</v>
      </c>
      <c r="B143" s="300" t="s">
        <v>181</v>
      </c>
      <c r="C143" s="313">
        <v>6</v>
      </c>
      <c r="D143" s="308" t="s">
        <v>5</v>
      </c>
      <c r="E143" s="308"/>
      <c r="F143" s="3" t="e">
        <f>B143*#REF!+B143*#REF!</f>
        <v>#VALUE!</v>
      </c>
      <c r="G143" s="65" t="e">
        <f>F143*(1+#REF!)</f>
        <v>#VALUE!</v>
      </c>
      <c r="J143" s="1"/>
      <c r="K143" s="1"/>
      <c r="L143" s="1"/>
      <c r="M143" s="1"/>
      <c r="N143" s="1"/>
    </row>
    <row r="144" spans="1:14" s="3" customFormat="1" ht="25.5">
      <c r="A144" s="681" t="s">
        <v>1721</v>
      </c>
      <c r="B144" s="321" t="s">
        <v>203</v>
      </c>
      <c r="C144" s="322">
        <v>2</v>
      </c>
      <c r="D144" s="319" t="s">
        <v>5</v>
      </c>
      <c r="E144" s="319"/>
      <c r="F144" s="3" t="e">
        <f>B144*#REF!+B144*#REF!</f>
        <v>#VALUE!</v>
      </c>
      <c r="G144" s="65" t="e">
        <f>F144*(1+#REF!)</f>
        <v>#VALUE!</v>
      </c>
      <c r="J144" s="1"/>
      <c r="K144" s="1"/>
      <c r="L144" s="1"/>
      <c r="M144" s="1"/>
      <c r="N144" s="1"/>
    </row>
    <row r="145" spans="1:14" s="3" customFormat="1" ht="25.5">
      <c r="A145" s="681" t="s">
        <v>1722</v>
      </c>
      <c r="B145" s="300" t="s">
        <v>185</v>
      </c>
      <c r="C145" s="313">
        <v>2</v>
      </c>
      <c r="D145" s="308" t="s">
        <v>5</v>
      </c>
      <c r="E145" s="308"/>
      <c r="F145" s="3" t="e">
        <f>B145*#REF!+B145*#REF!</f>
        <v>#VALUE!</v>
      </c>
      <c r="G145" s="65" t="e">
        <f>F145*(1+#REF!)</f>
        <v>#VALUE!</v>
      </c>
      <c r="J145" s="1"/>
      <c r="K145" s="1"/>
      <c r="L145" s="1"/>
      <c r="M145" s="1"/>
      <c r="N145" s="1"/>
    </row>
    <row r="146" spans="1:14" s="3" customFormat="1" ht="15">
      <c r="A146" s="681" t="s">
        <v>1723</v>
      </c>
      <c r="B146" s="321" t="s">
        <v>183</v>
      </c>
      <c r="C146" s="322">
        <v>6</v>
      </c>
      <c r="D146" s="319" t="s">
        <v>5</v>
      </c>
      <c r="E146" s="319"/>
      <c r="F146" s="3" t="e">
        <f>B146*#REF!+B146*#REF!</f>
        <v>#VALUE!</v>
      </c>
      <c r="G146" s="65" t="e">
        <f>F146*(1+#REF!)</f>
        <v>#VALUE!</v>
      </c>
      <c r="J146" s="1"/>
      <c r="K146" s="1"/>
      <c r="L146" s="1"/>
      <c r="M146" s="1"/>
      <c r="N146" s="1"/>
    </row>
    <row r="147" spans="1:14" s="3" customFormat="1" ht="15">
      <c r="A147" s="580" t="s">
        <v>1565</v>
      </c>
      <c r="B147" s="583" t="s">
        <v>1375</v>
      </c>
      <c r="C147" s="583"/>
      <c r="D147" s="583"/>
      <c r="E147" s="583"/>
      <c r="F147" s="3" t="e">
        <f>B147*#REF!+B147*#REF!</f>
        <v>#VALUE!</v>
      </c>
      <c r="G147" s="65" t="e">
        <f>F147*(1+#REF!)</f>
        <v>#VALUE!</v>
      </c>
      <c r="J147" s="1"/>
      <c r="K147" s="1"/>
      <c r="L147" s="1"/>
      <c r="M147" s="1"/>
      <c r="N147" s="1"/>
    </row>
    <row r="148" spans="1:14" s="3" customFormat="1" ht="15">
      <c r="A148" s="681" t="s">
        <v>1724</v>
      </c>
      <c r="B148" s="321" t="s">
        <v>205</v>
      </c>
      <c r="C148" s="322">
        <v>1</v>
      </c>
      <c r="D148" s="319" t="s">
        <v>5</v>
      </c>
      <c r="E148" s="319"/>
      <c r="F148" s="3" t="e">
        <f>B148*#REF!+B148*#REF!</f>
        <v>#VALUE!</v>
      </c>
      <c r="G148" s="65" t="e">
        <f>F148*(1+#REF!)</f>
        <v>#VALUE!</v>
      </c>
      <c r="J148" s="1"/>
      <c r="K148" s="1"/>
      <c r="L148" s="1"/>
      <c r="M148" s="1"/>
      <c r="N148" s="1"/>
    </row>
    <row r="149" spans="1:14" s="3" customFormat="1" ht="15">
      <c r="A149" s="580" t="s">
        <v>1566</v>
      </c>
      <c r="B149" s="583" t="s">
        <v>1567</v>
      </c>
      <c r="C149" s="583"/>
      <c r="D149" s="583"/>
      <c r="E149" s="583"/>
      <c r="F149" s="3" t="e">
        <f>B149*#REF!+B149*#REF!</f>
        <v>#VALUE!</v>
      </c>
      <c r="G149" s="65" t="e">
        <f>F149*(1+#REF!)</f>
        <v>#VALUE!</v>
      </c>
      <c r="J149" s="1"/>
      <c r="K149" s="1"/>
      <c r="L149" s="1"/>
      <c r="M149" s="1"/>
      <c r="N149" s="1"/>
    </row>
    <row r="150" spans="1:14" s="3" customFormat="1" ht="25.5">
      <c r="A150" s="681" t="s">
        <v>1725</v>
      </c>
      <c r="B150" s="321" t="s">
        <v>189</v>
      </c>
      <c r="C150" s="322">
        <v>2</v>
      </c>
      <c r="D150" s="319" t="s">
        <v>5</v>
      </c>
      <c r="E150" s="319"/>
      <c r="F150" s="3" t="e">
        <f>B150*#REF!+B150*#REF!</f>
        <v>#VALUE!</v>
      </c>
      <c r="G150" s="65" t="e">
        <f>F150*(1+#REF!)</f>
        <v>#VALUE!</v>
      </c>
      <c r="J150" s="1"/>
      <c r="K150" s="1"/>
      <c r="L150" s="1"/>
      <c r="M150" s="1"/>
      <c r="N150" s="1"/>
    </row>
    <row r="151" spans="1:14" s="3" customFormat="1" ht="15">
      <c r="A151" s="580" t="s">
        <v>1568</v>
      </c>
      <c r="B151" s="583" t="s">
        <v>1569</v>
      </c>
      <c r="C151" s="583"/>
      <c r="D151" s="583"/>
      <c r="E151" s="583"/>
      <c r="G151" s="65"/>
      <c r="J151" s="1"/>
      <c r="K151" s="1"/>
      <c r="L151" s="1"/>
      <c r="M151" s="1"/>
      <c r="N151" s="1"/>
    </row>
    <row r="152" spans="1:14" s="3" customFormat="1" ht="25.5">
      <c r="A152" s="681" t="s">
        <v>1726</v>
      </c>
      <c r="B152" s="321" t="s">
        <v>198</v>
      </c>
      <c r="C152" s="322">
        <v>1</v>
      </c>
      <c r="D152" s="319" t="s">
        <v>5</v>
      </c>
      <c r="E152" s="319"/>
      <c r="F152" s="3" t="e">
        <f>B152*#REF!+B152*#REF!</f>
        <v>#VALUE!</v>
      </c>
      <c r="G152" s="65" t="e">
        <f>F152*(1+#REF!)</f>
        <v>#VALUE!</v>
      </c>
      <c r="J152" s="1"/>
      <c r="K152" s="1"/>
      <c r="L152" s="1"/>
      <c r="M152" s="1"/>
      <c r="N152" s="1"/>
    </row>
    <row r="153" spans="1:14" s="3" customFormat="1" ht="15">
      <c r="A153" s="580" t="s">
        <v>1570</v>
      </c>
      <c r="B153" s="583" t="s">
        <v>1571</v>
      </c>
      <c r="C153" s="583"/>
      <c r="D153" s="583"/>
      <c r="E153" s="583"/>
      <c r="F153" s="3" t="e">
        <f>B153*#REF!+B153*#REF!</f>
        <v>#VALUE!</v>
      </c>
      <c r="G153" s="65" t="e">
        <f>F153*(1+#REF!)</f>
        <v>#VALUE!</v>
      </c>
      <c r="J153" s="1"/>
      <c r="K153" s="1"/>
      <c r="L153" s="1"/>
      <c r="M153" s="1"/>
      <c r="N153" s="1"/>
    </row>
    <row r="154" spans="1:14" s="3" customFormat="1" ht="25.5">
      <c r="A154" s="681" t="s">
        <v>1727</v>
      </c>
      <c r="B154" s="300" t="s">
        <v>190</v>
      </c>
      <c r="C154" s="313">
        <v>8</v>
      </c>
      <c r="D154" s="308" t="s">
        <v>5</v>
      </c>
      <c r="E154" s="308"/>
      <c r="F154" s="3" t="e">
        <f>B154*#REF!+B154*#REF!</f>
        <v>#VALUE!</v>
      </c>
      <c r="G154" s="65" t="e">
        <f>F154*(1+#REF!)</f>
        <v>#VALUE!</v>
      </c>
      <c r="J154" s="1"/>
      <c r="K154" s="1"/>
      <c r="L154" s="1"/>
      <c r="M154" s="1"/>
      <c r="N154" s="1"/>
    </row>
    <row r="155" spans="1:14" s="3" customFormat="1" ht="25.5">
      <c r="A155" s="681" t="s">
        <v>1728</v>
      </c>
      <c r="B155" s="321" t="s">
        <v>197</v>
      </c>
      <c r="C155" s="322">
        <v>3</v>
      </c>
      <c r="D155" s="319" t="s">
        <v>5</v>
      </c>
      <c r="E155" s="319"/>
      <c r="G155" s="65"/>
      <c r="J155" s="1"/>
      <c r="K155" s="1"/>
      <c r="L155" s="1"/>
      <c r="M155" s="1"/>
      <c r="N155" s="1"/>
    </row>
    <row r="156" spans="1:14" s="3" customFormat="1" ht="15">
      <c r="A156" s="580" t="s">
        <v>1572</v>
      </c>
      <c r="B156" s="583" t="s">
        <v>1573</v>
      </c>
      <c r="C156" s="583"/>
      <c r="D156" s="583"/>
      <c r="E156" s="583"/>
      <c r="F156" s="3" t="e">
        <f>B156*#REF!+B156*#REF!</f>
        <v>#VALUE!</v>
      </c>
      <c r="G156" s="65" t="e">
        <f>F156*(1+#REF!)</f>
        <v>#VALUE!</v>
      </c>
      <c r="J156" s="1"/>
      <c r="K156" s="1"/>
      <c r="L156" s="1"/>
      <c r="M156" s="1"/>
      <c r="N156" s="1"/>
    </row>
    <row r="157" spans="1:14" s="3" customFormat="1" ht="15">
      <c r="A157" s="369" t="s">
        <v>1729</v>
      </c>
      <c r="B157" s="357" t="s">
        <v>234</v>
      </c>
      <c r="C157" s="322">
        <v>1</v>
      </c>
      <c r="D157" s="319" t="s">
        <v>5</v>
      </c>
      <c r="E157" s="319"/>
      <c r="G157" s="65"/>
      <c r="J157" s="1"/>
      <c r="K157" s="1"/>
      <c r="L157" s="1"/>
      <c r="M157" s="1"/>
      <c r="N157" s="1"/>
    </row>
    <row r="158" spans="1:14" s="3" customFormat="1" ht="15">
      <c r="A158" s="369" t="s">
        <v>1730</v>
      </c>
      <c r="B158" s="357" t="s">
        <v>235</v>
      </c>
      <c r="C158" s="322">
        <v>1</v>
      </c>
      <c r="D158" s="319" t="s">
        <v>5</v>
      </c>
      <c r="E158" s="319"/>
      <c r="F158" s="3" t="e">
        <f>B158*#REF!+B158*#REF!</f>
        <v>#VALUE!</v>
      </c>
      <c r="G158" s="65" t="e">
        <f>F158*(1+#REF!)</f>
        <v>#VALUE!</v>
      </c>
      <c r="J158" s="1"/>
      <c r="K158" s="1"/>
      <c r="L158" s="1"/>
      <c r="M158" s="1"/>
      <c r="N158" s="1"/>
    </row>
    <row r="159" spans="1:14" s="3" customFormat="1" ht="15">
      <c r="A159" s="369" t="s">
        <v>1731</v>
      </c>
      <c r="B159" s="306" t="s">
        <v>236</v>
      </c>
      <c r="C159" s="313">
        <v>1</v>
      </c>
      <c r="D159" s="308" t="s">
        <v>5</v>
      </c>
      <c r="E159" s="308"/>
      <c r="F159" s="3" t="e">
        <f>B159*#REF!+B159*#REF!</f>
        <v>#VALUE!</v>
      </c>
      <c r="G159" s="65" t="e">
        <f>F159*(1+#REF!)</f>
        <v>#VALUE!</v>
      </c>
      <c r="J159" s="1"/>
      <c r="K159" s="1"/>
      <c r="L159" s="1"/>
      <c r="M159" s="1"/>
      <c r="N159" s="1"/>
    </row>
    <row r="160" spans="1:14" s="3" customFormat="1" ht="15">
      <c r="A160" s="369" t="s">
        <v>1732</v>
      </c>
      <c r="B160" s="357" t="s">
        <v>237</v>
      </c>
      <c r="C160" s="322">
        <v>1</v>
      </c>
      <c r="D160" s="319" t="s">
        <v>5</v>
      </c>
      <c r="E160" s="319"/>
      <c r="F160" s="3" t="e">
        <f>B160*#REF!+B160*#REF!</f>
        <v>#VALUE!</v>
      </c>
      <c r="G160" s="65" t="e">
        <f>F160*(1+#REF!)</f>
        <v>#VALUE!</v>
      </c>
      <c r="J160" s="1"/>
      <c r="K160" s="1"/>
      <c r="L160" s="1"/>
      <c r="M160" s="1"/>
      <c r="N160" s="1"/>
    </row>
    <row r="161" spans="1:14" s="3" customFormat="1" ht="15">
      <c r="A161" s="369" t="s">
        <v>1733</v>
      </c>
      <c r="B161" s="306" t="s">
        <v>238</v>
      </c>
      <c r="C161" s="313">
        <v>2</v>
      </c>
      <c r="D161" s="308" t="s">
        <v>5</v>
      </c>
      <c r="E161" s="308"/>
      <c r="F161" s="3" t="e">
        <f>B161*#REF!+B161*#REF!</f>
        <v>#VALUE!</v>
      </c>
      <c r="G161" s="65" t="e">
        <f>F161*(1+#REF!)</f>
        <v>#VALUE!</v>
      </c>
      <c r="J161" s="1"/>
      <c r="K161" s="1"/>
      <c r="L161" s="1"/>
      <c r="M161" s="1"/>
      <c r="N161" s="1"/>
    </row>
    <row r="162" spans="1:14" s="3" customFormat="1" ht="15">
      <c r="A162" s="580" t="s">
        <v>1576</v>
      </c>
      <c r="B162" s="583" t="s">
        <v>1577</v>
      </c>
      <c r="C162" s="583"/>
      <c r="D162" s="583"/>
      <c r="E162" s="583"/>
      <c r="F162" s="3" t="e">
        <f>B162*#REF!+B162*#REF!</f>
        <v>#VALUE!</v>
      </c>
      <c r="G162" s="65" t="e">
        <f>F162*(1+#REF!)</f>
        <v>#VALUE!</v>
      </c>
      <c r="J162" s="1"/>
      <c r="K162" s="1"/>
      <c r="L162" s="1"/>
      <c r="M162" s="1"/>
      <c r="N162" s="1"/>
    </row>
    <row r="163" spans="1:14" s="3" customFormat="1" ht="15">
      <c r="A163" s="369" t="s">
        <v>1734</v>
      </c>
      <c r="B163" s="300" t="s">
        <v>200</v>
      </c>
      <c r="C163" s="313">
        <v>8</v>
      </c>
      <c r="D163" s="308" t="s">
        <v>5</v>
      </c>
      <c r="E163" s="308"/>
      <c r="F163" s="3" t="e">
        <f>B163*#REF!+B163*#REF!</f>
        <v>#VALUE!</v>
      </c>
      <c r="G163" s="65" t="e">
        <f>F163*(1+#REF!)</f>
        <v>#VALUE!</v>
      </c>
      <c r="J163" s="1"/>
      <c r="K163" s="1"/>
      <c r="L163" s="1"/>
      <c r="M163" s="1"/>
      <c r="N163" s="1"/>
    </row>
    <row r="164" spans="1:14" s="3" customFormat="1" ht="15">
      <c r="A164" s="369" t="s">
        <v>1735</v>
      </c>
      <c r="B164" s="321" t="s">
        <v>201</v>
      </c>
      <c r="C164" s="322">
        <v>6</v>
      </c>
      <c r="D164" s="319" t="s">
        <v>5</v>
      </c>
      <c r="E164" s="319"/>
      <c r="F164" s="3" t="e">
        <f>B164*#REF!+B164*#REF!</f>
        <v>#VALUE!</v>
      </c>
      <c r="G164" s="65" t="e">
        <f>F164*(1+#REF!)</f>
        <v>#VALUE!</v>
      </c>
      <c r="J164" s="1"/>
      <c r="K164" s="1"/>
      <c r="L164" s="1"/>
      <c r="M164" s="1"/>
      <c r="N164" s="1"/>
    </row>
    <row r="165" spans="1:14" s="3" customFormat="1" ht="15">
      <c r="A165" s="580" t="s">
        <v>1574</v>
      </c>
      <c r="B165" s="583" t="s">
        <v>1575</v>
      </c>
      <c r="C165" s="583"/>
      <c r="D165" s="583"/>
      <c r="E165" s="583"/>
      <c r="F165" s="3" t="e">
        <f>B165*#REF!+B165*#REF!</f>
        <v>#VALUE!</v>
      </c>
      <c r="G165" s="65" t="e">
        <f>F165*(1+#REF!)</f>
        <v>#VALUE!</v>
      </c>
      <c r="J165" s="1"/>
      <c r="K165" s="1"/>
      <c r="L165" s="1"/>
      <c r="M165" s="1"/>
      <c r="N165" s="1"/>
    </row>
    <row r="166" spans="1:14" s="3" customFormat="1" ht="25.5">
      <c r="A166" s="369" t="s">
        <v>1736</v>
      </c>
      <c r="B166" s="321" t="s">
        <v>187</v>
      </c>
      <c r="C166" s="322">
        <v>2</v>
      </c>
      <c r="D166" s="319" t="s">
        <v>5</v>
      </c>
      <c r="E166" s="319"/>
      <c r="F166" s="3" t="e">
        <f>B166*#REF!+B166*#REF!</f>
        <v>#VALUE!</v>
      </c>
      <c r="G166" s="65" t="e">
        <f>F166*(1+#REF!)</f>
        <v>#VALUE!</v>
      </c>
      <c r="J166" s="1"/>
      <c r="K166" s="1"/>
      <c r="L166" s="1"/>
      <c r="M166" s="1"/>
      <c r="N166" s="1"/>
    </row>
    <row r="167" spans="1:14" s="3" customFormat="1" ht="24" customHeight="1">
      <c r="A167" s="369" t="s">
        <v>1737</v>
      </c>
      <c r="B167" s="300" t="s">
        <v>186</v>
      </c>
      <c r="C167" s="313">
        <v>8</v>
      </c>
      <c r="D167" s="308" t="s">
        <v>5</v>
      </c>
      <c r="E167" s="308"/>
      <c r="F167" s="3" t="e">
        <f>B167*#REF!+B167*#REF!</f>
        <v>#VALUE!</v>
      </c>
      <c r="G167" s="65" t="e">
        <f>F167*(1+#REF!)</f>
        <v>#VALUE!</v>
      </c>
      <c r="J167" s="1"/>
      <c r="K167" s="1"/>
      <c r="L167" s="1"/>
      <c r="M167" s="1"/>
      <c r="N167" s="1"/>
    </row>
    <row r="168" spans="1:14" s="3" customFormat="1" ht="15">
      <c r="A168" s="580" t="s">
        <v>1578</v>
      </c>
      <c r="B168" s="583" t="s">
        <v>1579</v>
      </c>
      <c r="C168" s="583"/>
      <c r="D168" s="583"/>
      <c r="E168" s="583"/>
      <c r="F168" s="3" t="e">
        <f>B168*#REF!+B168*#REF!</f>
        <v>#VALUE!</v>
      </c>
      <c r="G168" s="65" t="e">
        <f>F168*(1+#REF!)</f>
        <v>#VALUE!</v>
      </c>
      <c r="J168" s="1"/>
      <c r="K168" s="1"/>
      <c r="L168" s="1"/>
      <c r="M168" s="1"/>
      <c r="N168" s="1"/>
    </row>
    <row r="169" spans="1:14" s="3" customFormat="1" ht="25.5">
      <c r="A169" s="369" t="s">
        <v>1741</v>
      </c>
      <c r="B169" s="321" t="s">
        <v>1381</v>
      </c>
      <c r="C169" s="322">
        <v>8</v>
      </c>
      <c r="D169" s="319" t="s">
        <v>5</v>
      </c>
      <c r="E169" s="319"/>
      <c r="F169" s="3" t="e">
        <f>B169*#REF!+B169*#REF!</f>
        <v>#VALUE!</v>
      </c>
      <c r="G169" s="65" t="e">
        <f>F169*(1+#REF!)</f>
        <v>#VALUE!</v>
      </c>
      <c r="J169" s="1"/>
      <c r="K169" s="1"/>
      <c r="L169" s="1"/>
      <c r="M169" s="1"/>
      <c r="N169" s="1"/>
    </row>
    <row r="170" spans="1:14" s="3" customFormat="1" ht="15.75" thickBot="1">
      <c r="A170" s="580" t="s">
        <v>1738</v>
      </c>
      <c r="B170" s="583" t="s">
        <v>1739</v>
      </c>
      <c r="C170" s="583"/>
      <c r="D170" s="583"/>
      <c r="E170" s="583"/>
      <c r="F170" s="3" t="e">
        <f>B170*#REF!+B170*#REF!</f>
        <v>#VALUE!</v>
      </c>
      <c r="G170" s="65" t="e">
        <f>F170*(1+#REF!)</f>
        <v>#VALUE!</v>
      </c>
      <c r="J170" s="1"/>
      <c r="K170" s="1"/>
      <c r="L170" s="1"/>
      <c r="M170" s="1"/>
      <c r="N170" s="1"/>
    </row>
    <row r="171" spans="1:14" s="3" customFormat="1" ht="15">
      <c r="A171" s="369" t="s">
        <v>1740</v>
      </c>
      <c r="B171" s="649" t="s">
        <v>192</v>
      </c>
      <c r="C171" s="650">
        <v>4.4</v>
      </c>
      <c r="D171" s="683" t="s">
        <v>25</v>
      </c>
      <c r="E171" s="683"/>
      <c r="F171" s="3" t="e">
        <f>B171*#REF!+B171*#REF!</f>
        <v>#VALUE!</v>
      </c>
      <c r="G171" s="65" t="e">
        <f>F171*(1+#REF!)</f>
        <v>#VALUE!</v>
      </c>
      <c r="J171" s="1"/>
      <c r="K171" s="1"/>
      <c r="L171" s="1"/>
      <c r="M171" s="1"/>
      <c r="N171" s="1"/>
    </row>
    <row r="172" spans="1:14" s="3" customFormat="1" ht="15">
      <c r="A172" s="369" t="s">
        <v>1742</v>
      </c>
      <c r="B172" s="300" t="s">
        <v>193</v>
      </c>
      <c r="C172" s="313">
        <v>8</v>
      </c>
      <c r="D172" s="308" t="s">
        <v>5</v>
      </c>
      <c r="E172" s="308"/>
      <c r="F172" s="3" t="e">
        <f>B172*#REF!+B172*#REF!</f>
        <v>#VALUE!</v>
      </c>
      <c r="G172" s="65" t="e">
        <f>F172*(1+#REF!)</f>
        <v>#VALUE!</v>
      </c>
      <c r="J172" s="1"/>
      <c r="K172" s="1"/>
      <c r="L172" s="1"/>
      <c r="M172" s="1"/>
      <c r="N172" s="1"/>
    </row>
    <row r="173" spans="1:14" s="3" customFormat="1" ht="15">
      <c r="A173" s="369" t="s">
        <v>1743</v>
      </c>
      <c r="B173" s="321" t="s">
        <v>194</v>
      </c>
      <c r="C173" s="322">
        <v>4</v>
      </c>
      <c r="D173" s="319" t="s">
        <v>5</v>
      </c>
      <c r="E173" s="319"/>
      <c r="F173" s="3" t="e">
        <f>B173*#REF!+B173*#REF!</f>
        <v>#VALUE!</v>
      </c>
      <c r="G173" s="65" t="e">
        <f>F173*(1+#REF!)</f>
        <v>#VALUE!</v>
      </c>
      <c r="J173" s="1"/>
      <c r="K173" s="1"/>
      <c r="L173" s="1"/>
      <c r="M173" s="1"/>
      <c r="N173" s="1"/>
    </row>
    <row r="174" spans="1:14" s="3" customFormat="1" ht="25.5">
      <c r="A174" s="369" t="s">
        <v>1744</v>
      </c>
      <c r="B174" s="321" t="s">
        <v>195</v>
      </c>
      <c r="C174" s="322">
        <v>6</v>
      </c>
      <c r="D174" s="319" t="s">
        <v>5</v>
      </c>
      <c r="E174" s="319"/>
      <c r="F174" s="3" t="e">
        <f>B174*#REF!+B174*#REF!</f>
        <v>#VALUE!</v>
      </c>
      <c r="G174" s="65" t="e">
        <f>F174*(1+#REF!)</f>
        <v>#VALUE!</v>
      </c>
      <c r="J174" s="1"/>
      <c r="K174" s="1"/>
      <c r="L174" s="1"/>
      <c r="M174" s="1"/>
      <c r="N174" s="1"/>
    </row>
    <row r="175" spans="1:14" s="3" customFormat="1" ht="25.5">
      <c r="A175" s="369" t="s">
        <v>1745</v>
      </c>
      <c r="B175" s="321" t="s">
        <v>196</v>
      </c>
      <c r="C175" s="322">
        <v>2.5300000000000007</v>
      </c>
      <c r="D175" s="319" t="s">
        <v>25</v>
      </c>
      <c r="E175" s="319"/>
      <c r="F175" s="3" t="e">
        <f>B175*#REF!+B175*#REF!</f>
        <v>#VALUE!</v>
      </c>
      <c r="G175" s="65" t="e">
        <f>F175*(1+#REF!)</f>
        <v>#VALUE!</v>
      </c>
      <c r="J175" s="1"/>
      <c r="K175" s="1"/>
      <c r="L175" s="1"/>
      <c r="M175" s="1"/>
      <c r="N175" s="1"/>
    </row>
    <row r="176" spans="1:14" s="3" customFormat="1" ht="25.5">
      <c r="A176" s="369" t="s">
        <v>1746</v>
      </c>
      <c r="B176" s="524" t="s">
        <v>149</v>
      </c>
      <c r="C176" s="387">
        <v>4</v>
      </c>
      <c r="D176" s="525" t="s">
        <v>5</v>
      </c>
      <c r="E176" s="525"/>
      <c r="F176" s="3" t="e">
        <f>B176*#REF!+B176*#REF!</f>
        <v>#VALUE!</v>
      </c>
      <c r="G176" s="65" t="e">
        <f>F176*(1+#REF!)</f>
        <v>#VALUE!</v>
      </c>
      <c r="J176" s="1"/>
      <c r="K176" s="1"/>
      <c r="L176" s="1"/>
      <c r="M176" s="1"/>
      <c r="N176" s="1"/>
    </row>
    <row r="177" spans="1:14" s="3" customFormat="1" ht="25.5">
      <c r="A177" s="369" t="s">
        <v>1747</v>
      </c>
      <c r="B177" s="300" t="s">
        <v>151</v>
      </c>
      <c r="C177" s="313">
        <v>2</v>
      </c>
      <c r="D177" s="358" t="s">
        <v>5</v>
      </c>
      <c r="E177" s="358"/>
      <c r="F177" s="3" t="e">
        <f>B177*#REF!+B177*#REF!</f>
        <v>#VALUE!</v>
      </c>
      <c r="G177" s="65" t="e">
        <f>F177*(1+#REF!)</f>
        <v>#VALUE!</v>
      </c>
      <c r="J177" s="1"/>
      <c r="K177" s="1"/>
      <c r="L177" s="1"/>
      <c r="M177" s="1"/>
      <c r="N177" s="1"/>
    </row>
    <row r="178" spans="1:14" s="3" customFormat="1" ht="25.5">
      <c r="A178" s="369" t="s">
        <v>1748</v>
      </c>
      <c r="B178" s="321" t="s">
        <v>152</v>
      </c>
      <c r="C178" s="322">
        <v>4</v>
      </c>
      <c r="D178" s="355" t="s">
        <v>5</v>
      </c>
      <c r="E178" s="355"/>
      <c r="F178" s="3" t="e">
        <f>B178*#REF!+B178*#REF!</f>
        <v>#VALUE!</v>
      </c>
      <c r="G178" s="65" t="e">
        <f>F178*(1+#REF!)</f>
        <v>#VALUE!</v>
      </c>
      <c r="J178" s="1"/>
      <c r="K178" s="1"/>
      <c r="L178" s="1"/>
      <c r="M178" s="1"/>
      <c r="N178" s="1"/>
    </row>
    <row r="179" spans="1:14" s="3" customFormat="1" ht="15">
      <c r="A179" s="369" t="s">
        <v>1749</v>
      </c>
      <c r="B179" s="321" t="s">
        <v>154</v>
      </c>
      <c r="C179" s="322">
        <v>3</v>
      </c>
      <c r="D179" s="355" t="s">
        <v>5</v>
      </c>
      <c r="E179" s="355"/>
      <c r="F179" s="3" t="e">
        <f>B179*#REF!+B179*#REF!</f>
        <v>#VALUE!</v>
      </c>
      <c r="G179" s="65" t="e">
        <f>F179*(1+#REF!)</f>
        <v>#VALUE!</v>
      </c>
      <c r="J179" s="1"/>
      <c r="K179" s="1"/>
      <c r="L179" s="1"/>
      <c r="M179" s="1"/>
      <c r="N179" s="1"/>
    </row>
    <row r="180" spans="1:14" s="3" customFormat="1" ht="15">
      <c r="A180" s="571" t="s">
        <v>1543</v>
      </c>
      <c r="B180" s="689" t="s">
        <v>1544</v>
      </c>
      <c r="C180" s="571"/>
      <c r="D180" s="571"/>
      <c r="E180" s="571"/>
      <c r="F180" s="3" t="e">
        <f>B180*#REF!+B180*#REF!</f>
        <v>#VALUE!</v>
      </c>
      <c r="G180" s="65" t="e">
        <f>F180*(1+#REF!)</f>
        <v>#VALUE!</v>
      </c>
      <c r="J180" s="1"/>
      <c r="K180" s="1"/>
      <c r="L180" s="1"/>
      <c r="M180" s="1"/>
      <c r="N180" s="1"/>
    </row>
    <row r="181" spans="1:14" s="3" customFormat="1" ht="15">
      <c r="A181" s="569" t="s">
        <v>1546</v>
      </c>
      <c r="B181" s="575" t="s">
        <v>1545</v>
      </c>
      <c r="C181" s="569"/>
      <c r="D181" s="569"/>
      <c r="E181" s="569"/>
      <c r="F181" s="3" t="e">
        <f>B181*#REF!+B181*#REF!</f>
        <v>#VALUE!</v>
      </c>
      <c r="G181" s="65" t="e">
        <f>F181*(1+#REF!)</f>
        <v>#VALUE!</v>
      </c>
      <c r="J181" s="1"/>
      <c r="K181" s="1"/>
      <c r="L181" s="1"/>
      <c r="M181" s="1"/>
      <c r="N181" s="1"/>
    </row>
    <row r="182" spans="1:14" s="3" customFormat="1" ht="15">
      <c r="A182" s="580" t="s">
        <v>1547</v>
      </c>
      <c r="B182" s="583" t="s">
        <v>1521</v>
      </c>
      <c r="C182" s="583"/>
      <c r="D182" s="583"/>
      <c r="E182" s="583"/>
      <c r="F182" s="3" t="e">
        <f>B182*#REF!+B182*#REF!</f>
        <v>#VALUE!</v>
      </c>
      <c r="G182" s="65" t="e">
        <f>F182*(1+#REF!)</f>
        <v>#VALUE!</v>
      </c>
      <c r="J182" s="1"/>
      <c r="K182" s="1"/>
      <c r="L182" s="1"/>
      <c r="M182" s="1"/>
      <c r="N182" s="1"/>
    </row>
    <row r="183" spans="1:14" s="3" customFormat="1" ht="15">
      <c r="A183" s="369" t="s">
        <v>1750</v>
      </c>
      <c r="B183" s="306" t="s">
        <v>252</v>
      </c>
      <c r="C183" s="313">
        <v>18.5</v>
      </c>
      <c r="D183" s="308" t="s">
        <v>4</v>
      </c>
      <c r="E183" s="308"/>
      <c r="F183" s="3" t="e">
        <f>B183*#REF!+B183*#REF!</f>
        <v>#VALUE!</v>
      </c>
      <c r="G183" s="65" t="e">
        <f>F183*(1+#REF!)</f>
        <v>#VALUE!</v>
      </c>
      <c r="J183" s="1"/>
      <c r="K183" s="1"/>
      <c r="L183" s="1"/>
      <c r="M183" s="1"/>
      <c r="N183" s="1"/>
    </row>
    <row r="184" spans="1:14" s="3" customFormat="1" ht="15">
      <c r="A184" s="369" t="s">
        <v>1751</v>
      </c>
      <c r="B184" s="357" t="s">
        <v>253</v>
      </c>
      <c r="C184" s="322">
        <v>15.8</v>
      </c>
      <c r="D184" s="319" t="s">
        <v>4</v>
      </c>
      <c r="E184" s="319"/>
      <c r="F184" s="3" t="e">
        <f>B184*#REF!+B184*#REF!</f>
        <v>#VALUE!</v>
      </c>
      <c r="G184" s="65" t="e">
        <f>F184*(1+#REF!)</f>
        <v>#VALUE!</v>
      </c>
      <c r="J184" s="1"/>
      <c r="K184" s="1"/>
      <c r="L184" s="1"/>
      <c r="M184" s="1"/>
      <c r="N184" s="1"/>
    </row>
    <row r="185" spans="1:14" s="3" customFormat="1" ht="15">
      <c r="A185" s="369" t="s">
        <v>1752</v>
      </c>
      <c r="B185" s="306" t="s">
        <v>254</v>
      </c>
      <c r="C185" s="313">
        <v>53.7</v>
      </c>
      <c r="D185" s="308" t="s">
        <v>4</v>
      </c>
      <c r="E185" s="308"/>
      <c r="F185" s="3" t="e">
        <f>B185*#REF!+B185*#REF!</f>
        <v>#VALUE!</v>
      </c>
      <c r="G185" s="65" t="e">
        <f>F185*(1+#REF!)</f>
        <v>#VALUE!</v>
      </c>
      <c r="J185" s="1"/>
      <c r="K185" s="1"/>
      <c r="L185" s="1"/>
      <c r="M185" s="1"/>
      <c r="N185" s="1"/>
    </row>
    <row r="186" spans="1:14" s="3" customFormat="1" ht="15">
      <c r="A186" s="369" t="s">
        <v>1753</v>
      </c>
      <c r="B186" s="357" t="s">
        <v>255</v>
      </c>
      <c r="C186" s="322">
        <v>33</v>
      </c>
      <c r="D186" s="319" t="s">
        <v>4</v>
      </c>
      <c r="E186" s="319"/>
      <c r="F186" s="3" t="e">
        <f>B186*#REF!+B186*#REF!</f>
        <v>#VALUE!</v>
      </c>
      <c r="G186" s="65" t="e">
        <f>F186*(1+#REF!)</f>
        <v>#VALUE!</v>
      </c>
      <c r="J186" s="1"/>
      <c r="K186" s="1"/>
      <c r="L186" s="1"/>
      <c r="M186" s="1"/>
      <c r="N186" s="1"/>
    </row>
    <row r="187" spans="1:14" s="3" customFormat="1" ht="25.5">
      <c r="A187" s="369" t="s">
        <v>1754</v>
      </c>
      <c r="B187" s="332" t="s">
        <v>232</v>
      </c>
      <c r="C187" s="322">
        <v>30</v>
      </c>
      <c r="D187" s="319" t="s">
        <v>4</v>
      </c>
      <c r="E187" s="319"/>
      <c r="F187" s="3" t="e">
        <f>B187*#REF!+B187*#REF!</f>
        <v>#VALUE!</v>
      </c>
      <c r="G187" s="65" t="e">
        <f>F187*(1+#REF!)</f>
        <v>#VALUE!</v>
      </c>
      <c r="J187" s="1"/>
      <c r="K187" s="1"/>
      <c r="L187" s="1"/>
      <c r="M187" s="1"/>
      <c r="N187" s="1"/>
    </row>
    <row r="188" spans="1:14" s="3" customFormat="1" ht="15" customHeight="1">
      <c r="A188" s="580" t="s">
        <v>1548</v>
      </c>
      <c r="B188" s="583" t="s">
        <v>1530</v>
      </c>
      <c r="C188" s="583"/>
      <c r="D188" s="583"/>
      <c r="E188" s="583"/>
      <c r="F188" s="3" t="e">
        <f>B188*#REF!+B188*#REF!</f>
        <v>#VALUE!</v>
      </c>
      <c r="G188" s="65" t="e">
        <f>F188*(1+#REF!)</f>
        <v>#VALUE!</v>
      </c>
      <c r="J188" s="1"/>
      <c r="K188" s="1"/>
      <c r="L188" s="1"/>
      <c r="M188" s="1"/>
      <c r="N188" s="1"/>
    </row>
    <row r="189" spans="1:14" s="3" customFormat="1" ht="15">
      <c r="A189" s="369" t="s">
        <v>1755</v>
      </c>
      <c r="B189" s="306" t="s">
        <v>1535</v>
      </c>
      <c r="C189" s="313">
        <v>9</v>
      </c>
      <c r="D189" s="308" t="s">
        <v>5</v>
      </c>
      <c r="E189" s="308"/>
      <c r="F189" s="3" t="e">
        <f>B189*#REF!+B189*#REF!</f>
        <v>#VALUE!</v>
      </c>
      <c r="G189" s="65" t="e">
        <f>F189*(1+#REF!)</f>
        <v>#VALUE!</v>
      </c>
      <c r="J189" s="1"/>
      <c r="K189" s="1"/>
      <c r="L189" s="1"/>
      <c r="M189" s="1"/>
      <c r="N189" s="1"/>
    </row>
    <row r="190" spans="1:14" s="3" customFormat="1" ht="15">
      <c r="A190" s="369" t="s">
        <v>1756</v>
      </c>
      <c r="B190" s="357" t="s">
        <v>1536</v>
      </c>
      <c r="C190" s="322">
        <v>22</v>
      </c>
      <c r="D190" s="319" t="s">
        <v>5</v>
      </c>
      <c r="E190" s="319"/>
      <c r="F190" s="3" t="e">
        <f>B190*#REF!+B190*#REF!</f>
        <v>#VALUE!</v>
      </c>
      <c r="G190" s="65" t="e">
        <f>F190*(1+#REF!)</f>
        <v>#VALUE!</v>
      </c>
      <c r="J190" s="1"/>
      <c r="K190" s="1"/>
      <c r="L190" s="1"/>
      <c r="M190" s="1"/>
      <c r="N190" s="1"/>
    </row>
    <row r="191" spans="1:14" s="3" customFormat="1" ht="15">
      <c r="A191" s="369" t="s">
        <v>1757</v>
      </c>
      <c r="B191" s="306" t="s">
        <v>1537</v>
      </c>
      <c r="C191" s="313">
        <v>8</v>
      </c>
      <c r="D191" s="308" t="s">
        <v>5</v>
      </c>
      <c r="E191" s="308"/>
      <c r="F191" s="3" t="e">
        <f>B191*#REF!+B191*#REF!</f>
        <v>#VALUE!</v>
      </c>
      <c r="G191" s="65" t="e">
        <f>F191*(1+#REF!)</f>
        <v>#VALUE!</v>
      </c>
      <c r="J191" s="1"/>
      <c r="K191" s="1"/>
      <c r="L191" s="1"/>
      <c r="M191" s="1"/>
      <c r="N191" s="1"/>
    </row>
    <row r="192" spans="1:14" s="3" customFormat="1" ht="15">
      <c r="A192" s="369" t="s">
        <v>1758</v>
      </c>
      <c r="B192" s="357" t="s">
        <v>1538</v>
      </c>
      <c r="C192" s="322">
        <v>12</v>
      </c>
      <c r="D192" s="319" t="s">
        <v>5</v>
      </c>
      <c r="E192" s="319"/>
      <c r="F192" s="3" t="e">
        <f>B192*#REF!+B192*#REF!</f>
        <v>#VALUE!</v>
      </c>
      <c r="G192" s="65" t="e">
        <f>F192*(1+#REF!)</f>
        <v>#VALUE!</v>
      </c>
      <c r="J192" s="1"/>
      <c r="K192" s="1"/>
      <c r="L192" s="1"/>
      <c r="M192" s="1"/>
      <c r="N192" s="1"/>
    </row>
    <row r="193" spans="1:14" s="3" customFormat="1" ht="15">
      <c r="A193" s="369" t="s">
        <v>1759</v>
      </c>
      <c r="B193" s="306" t="s">
        <v>1539</v>
      </c>
      <c r="C193" s="313">
        <v>13</v>
      </c>
      <c r="D193" s="308" t="s">
        <v>5</v>
      </c>
      <c r="E193" s="308"/>
      <c r="F193" s="3" t="e">
        <f>B193*#REF!+B193*#REF!</f>
        <v>#VALUE!</v>
      </c>
      <c r="G193" s="65" t="e">
        <f>F193*(1+#REF!)</f>
        <v>#VALUE!</v>
      </c>
      <c r="J193" s="1"/>
      <c r="K193" s="1"/>
      <c r="L193" s="1"/>
      <c r="M193" s="1"/>
      <c r="N193" s="1"/>
    </row>
    <row r="194" spans="1:14" s="3" customFormat="1" ht="15">
      <c r="A194" s="369" t="s">
        <v>1760</v>
      </c>
      <c r="B194" s="357" t="s">
        <v>1540</v>
      </c>
      <c r="C194" s="322">
        <v>7</v>
      </c>
      <c r="D194" s="319" t="s">
        <v>5</v>
      </c>
      <c r="E194" s="319"/>
      <c r="F194" s="3" t="e">
        <f>B194*#REF!+B194*#REF!</f>
        <v>#VALUE!</v>
      </c>
      <c r="G194" s="65" t="e">
        <f>F194*(1+#REF!)</f>
        <v>#VALUE!</v>
      </c>
      <c r="J194" s="1"/>
      <c r="K194" s="1"/>
      <c r="L194" s="1"/>
      <c r="M194" s="1"/>
      <c r="N194" s="1"/>
    </row>
    <row r="195" spans="1:14" s="3" customFormat="1" ht="15">
      <c r="A195" s="369" t="s">
        <v>1761</v>
      </c>
      <c r="B195" s="306" t="s">
        <v>1541</v>
      </c>
      <c r="C195" s="313">
        <v>12</v>
      </c>
      <c r="D195" s="308" t="s">
        <v>5</v>
      </c>
      <c r="E195" s="308"/>
      <c r="F195" s="3" t="e">
        <f>B195*#REF!+B195*#REF!</f>
        <v>#VALUE!</v>
      </c>
      <c r="G195" s="65" t="e">
        <f>F195*(1+#REF!)</f>
        <v>#VALUE!</v>
      </c>
      <c r="J195" s="1"/>
      <c r="K195" s="1"/>
      <c r="L195" s="1"/>
      <c r="M195" s="1"/>
      <c r="N195" s="1"/>
    </row>
    <row r="196" spans="1:14" s="3" customFormat="1" ht="15">
      <c r="A196" s="369" t="s">
        <v>1762</v>
      </c>
      <c r="B196" s="357" t="s">
        <v>1542</v>
      </c>
      <c r="C196" s="322">
        <v>10</v>
      </c>
      <c r="D196" s="319" t="s">
        <v>5</v>
      </c>
      <c r="E196" s="319"/>
      <c r="F196" s="3" t="e">
        <f>B196*#REF!+B196*#REF!</f>
        <v>#VALUE!</v>
      </c>
      <c r="G196" s="65" t="e">
        <f>F196*(1+#REF!)</f>
        <v>#VALUE!</v>
      </c>
      <c r="J196" s="1"/>
      <c r="K196" s="1"/>
      <c r="L196" s="1"/>
      <c r="M196" s="1"/>
      <c r="N196" s="1"/>
    </row>
    <row r="197" spans="1:14" s="3" customFormat="1" ht="25.5">
      <c r="A197" s="369" t="s">
        <v>1763</v>
      </c>
      <c r="B197" s="332" t="s">
        <v>233</v>
      </c>
      <c r="C197" s="322">
        <v>5</v>
      </c>
      <c r="D197" s="319" t="s">
        <v>110</v>
      </c>
      <c r="E197" s="319"/>
      <c r="F197" s="3" t="e">
        <f>B197*#REF!+B197*#REF!</f>
        <v>#VALUE!</v>
      </c>
      <c r="G197" s="65" t="e">
        <f>F197*(1+#REF!)</f>
        <v>#VALUE!</v>
      </c>
      <c r="J197" s="1"/>
      <c r="K197" s="1"/>
      <c r="L197" s="1"/>
      <c r="M197" s="1"/>
      <c r="N197" s="1"/>
    </row>
    <row r="198" spans="1:14" s="3" customFormat="1" ht="15">
      <c r="A198" s="580" t="s">
        <v>1549</v>
      </c>
      <c r="B198" s="583" t="s">
        <v>1550</v>
      </c>
      <c r="C198" s="583"/>
      <c r="D198" s="583"/>
      <c r="E198" s="583"/>
      <c r="F198" s="3" t="e">
        <f>B198*#REF!+B198*#REF!</f>
        <v>#VALUE!</v>
      </c>
      <c r="G198" s="65" t="e">
        <f>F198*(1+#REF!)</f>
        <v>#VALUE!</v>
      </c>
      <c r="J198" s="1"/>
      <c r="K198" s="1"/>
      <c r="L198" s="1"/>
      <c r="M198" s="1"/>
      <c r="N198" s="1"/>
    </row>
    <row r="199" spans="1:14" s="3" customFormat="1" ht="15">
      <c r="A199" s="369" t="s">
        <v>1764</v>
      </c>
      <c r="B199" s="306" t="s">
        <v>257</v>
      </c>
      <c r="C199" s="313">
        <v>4</v>
      </c>
      <c r="D199" s="308" t="s">
        <v>5</v>
      </c>
      <c r="E199" s="308"/>
      <c r="F199" s="3" t="e">
        <f>B199*#REF!+B199*#REF!</f>
        <v>#VALUE!</v>
      </c>
      <c r="G199" s="65" t="e">
        <f>F199*(1+#REF!)</f>
        <v>#VALUE!</v>
      </c>
      <c r="J199" s="1"/>
      <c r="K199" s="1"/>
      <c r="L199" s="1"/>
      <c r="M199" s="1"/>
      <c r="N199" s="1"/>
    </row>
    <row r="200" spans="1:14" s="3" customFormat="1" ht="15" customHeight="1">
      <c r="A200" s="369" t="s">
        <v>1765</v>
      </c>
      <c r="B200" s="357" t="s">
        <v>258</v>
      </c>
      <c r="C200" s="322">
        <v>6</v>
      </c>
      <c r="D200" s="319" t="s">
        <v>5</v>
      </c>
      <c r="E200" s="319"/>
      <c r="F200" s="3" t="e">
        <f>B200*#REF!+B200*#REF!</f>
        <v>#VALUE!</v>
      </c>
      <c r="G200" s="65" t="e">
        <f>F200*(1+#REF!)</f>
        <v>#VALUE!</v>
      </c>
      <c r="J200" s="1"/>
      <c r="K200" s="1"/>
      <c r="L200" s="1"/>
      <c r="M200" s="1"/>
      <c r="N200" s="1"/>
    </row>
    <row r="201" spans="1:14" s="3" customFormat="1" ht="15" customHeight="1">
      <c r="A201" s="369" t="s">
        <v>1766</v>
      </c>
      <c r="B201" s="306" t="s">
        <v>259</v>
      </c>
      <c r="C201" s="313">
        <v>8</v>
      </c>
      <c r="D201" s="308" t="s">
        <v>5</v>
      </c>
      <c r="E201" s="308"/>
      <c r="F201" s="3" t="e">
        <f>B201*#REF!+B201*#REF!</f>
        <v>#VALUE!</v>
      </c>
      <c r="G201" s="65" t="e">
        <f>F201*(1+#REF!)</f>
        <v>#VALUE!</v>
      </c>
      <c r="J201" s="1"/>
      <c r="K201" s="1"/>
      <c r="L201" s="1"/>
      <c r="M201" s="1"/>
      <c r="N201" s="1"/>
    </row>
    <row r="202" spans="1:14" s="3" customFormat="1" ht="15" customHeight="1">
      <c r="A202" s="369" t="s">
        <v>1767</v>
      </c>
      <c r="B202" s="357" t="s">
        <v>260</v>
      </c>
      <c r="C202" s="322">
        <v>14</v>
      </c>
      <c r="D202" s="319" t="s">
        <v>5</v>
      </c>
      <c r="E202" s="319"/>
      <c r="F202" s="3" t="e">
        <f>B202*#REF!+B202*#REF!</f>
        <v>#VALUE!</v>
      </c>
      <c r="G202" s="65" t="e">
        <f>F202*(1+#REF!)</f>
        <v>#VALUE!</v>
      </c>
      <c r="J202" s="1"/>
      <c r="K202" s="1"/>
      <c r="L202" s="1"/>
      <c r="M202" s="1"/>
      <c r="N202" s="1"/>
    </row>
    <row r="203" spans="1:14" s="3" customFormat="1" ht="15" customHeight="1">
      <c r="A203" s="580" t="s">
        <v>1551</v>
      </c>
      <c r="B203" s="583" t="s">
        <v>1552</v>
      </c>
      <c r="C203" s="583"/>
      <c r="D203" s="583"/>
      <c r="E203" s="583"/>
      <c r="F203" s="3" t="e">
        <f>B203*#REF!+B203*#REF!</f>
        <v>#VALUE!</v>
      </c>
      <c r="G203" s="65" t="e">
        <f>F203*(1+#REF!)</f>
        <v>#VALUE!</v>
      </c>
      <c r="J203" s="1"/>
      <c r="K203" s="1"/>
      <c r="L203" s="1"/>
      <c r="M203" s="1"/>
      <c r="N203" s="1"/>
    </row>
    <row r="204" spans="1:14" s="3" customFormat="1" ht="15" customHeight="1">
      <c r="A204" s="369" t="s">
        <v>1768</v>
      </c>
      <c r="B204" s="357" t="s">
        <v>263</v>
      </c>
      <c r="C204" s="322">
        <v>2</v>
      </c>
      <c r="D204" s="319" t="s">
        <v>5</v>
      </c>
      <c r="E204" s="319"/>
      <c r="F204" s="3" t="e">
        <f>B204*#REF!+B204*#REF!</f>
        <v>#VALUE!</v>
      </c>
      <c r="G204" s="65" t="e">
        <f>F204*(1+#REF!)</f>
        <v>#VALUE!</v>
      </c>
      <c r="J204" s="1"/>
      <c r="K204" s="1"/>
      <c r="L204" s="1"/>
      <c r="M204" s="1"/>
      <c r="N204" s="1"/>
    </row>
    <row r="205" spans="1:14" s="3" customFormat="1" ht="15">
      <c r="A205" s="580" t="s">
        <v>1553</v>
      </c>
      <c r="B205" s="583" t="s">
        <v>1554</v>
      </c>
      <c r="C205" s="583"/>
      <c r="D205" s="583"/>
      <c r="E205" s="583"/>
      <c r="F205" s="3" t="e">
        <f>B205*#REF!+B205*#REF!</f>
        <v>#VALUE!</v>
      </c>
      <c r="G205" s="65" t="e">
        <f>F205*(1+#REF!)</f>
        <v>#VALUE!</v>
      </c>
      <c r="J205" s="1"/>
      <c r="K205" s="1"/>
      <c r="L205" s="1"/>
      <c r="M205" s="1"/>
      <c r="N205" s="1"/>
    </row>
    <row r="206" spans="1:14" s="3" customFormat="1" ht="15">
      <c r="A206" s="369" t="s">
        <v>1769</v>
      </c>
      <c r="B206" s="306" t="s">
        <v>261</v>
      </c>
      <c r="C206" s="313">
        <v>2</v>
      </c>
      <c r="D206" s="308" t="s">
        <v>5</v>
      </c>
      <c r="E206" s="308"/>
      <c r="F206" s="3" t="e">
        <f>B206*#REF!+B206*#REF!</f>
        <v>#VALUE!</v>
      </c>
      <c r="G206" s="65" t="e">
        <f>F206*(1+#REF!)</f>
        <v>#VALUE!</v>
      </c>
      <c r="J206" s="1"/>
      <c r="K206" s="1"/>
      <c r="L206" s="1"/>
      <c r="M206" s="1"/>
      <c r="N206" s="1"/>
    </row>
    <row r="207" spans="1:14" s="3" customFormat="1" ht="15">
      <c r="A207" s="369" t="s">
        <v>1770</v>
      </c>
      <c r="B207" s="357" t="s">
        <v>262</v>
      </c>
      <c r="C207" s="322">
        <v>3</v>
      </c>
      <c r="D207" s="319" t="s">
        <v>5</v>
      </c>
      <c r="E207" s="319"/>
      <c r="F207" s="3" t="e">
        <f>B207*#REF!+B207*#REF!</f>
        <v>#VALUE!</v>
      </c>
      <c r="G207" s="65" t="e">
        <f>F207*(1+#REF!)</f>
        <v>#VALUE!</v>
      </c>
      <c r="J207" s="1"/>
      <c r="K207" s="1"/>
      <c r="L207" s="1"/>
      <c r="M207" s="1"/>
      <c r="N207" s="1"/>
    </row>
    <row r="208" spans="1:14" s="3" customFormat="1" ht="15">
      <c r="A208" s="580" t="s">
        <v>1555</v>
      </c>
      <c r="B208" s="583" t="s">
        <v>1556</v>
      </c>
      <c r="C208" s="583"/>
      <c r="D208" s="583"/>
      <c r="E208" s="583"/>
      <c r="G208" s="65"/>
      <c r="J208" s="1"/>
      <c r="K208" s="1"/>
      <c r="L208" s="1"/>
      <c r="M208" s="1"/>
      <c r="N208" s="1"/>
    </row>
    <row r="209" spans="1:14" s="3" customFormat="1" ht="15">
      <c r="A209" s="368" t="s">
        <v>1771</v>
      </c>
      <c r="B209" s="357" t="s">
        <v>1331</v>
      </c>
      <c r="C209" s="322">
        <v>8</v>
      </c>
      <c r="D209" s="322" t="s">
        <v>5</v>
      </c>
      <c r="E209" s="322"/>
      <c r="G209" s="65"/>
      <c r="J209" s="1"/>
      <c r="K209" s="1"/>
      <c r="L209" s="1"/>
      <c r="M209" s="1"/>
      <c r="N209" s="1"/>
    </row>
    <row r="210" spans="1:14" s="3" customFormat="1" ht="15">
      <c r="A210" s="580" t="s">
        <v>1557</v>
      </c>
      <c r="B210" s="583" t="s">
        <v>1558</v>
      </c>
      <c r="C210" s="583"/>
      <c r="D210" s="583"/>
      <c r="E210" s="583"/>
      <c r="G210" s="65"/>
      <c r="J210" s="1"/>
      <c r="K210" s="1"/>
      <c r="L210" s="1"/>
      <c r="M210" s="1"/>
      <c r="N210" s="1"/>
    </row>
    <row r="211" spans="1:14" s="3" customFormat="1" ht="15">
      <c r="A211" s="369" t="s">
        <v>1772</v>
      </c>
      <c r="B211" s="357" t="s">
        <v>1324</v>
      </c>
      <c r="C211" s="322">
        <v>8</v>
      </c>
      <c r="D211" s="322" t="s">
        <v>5</v>
      </c>
      <c r="E211" s="322"/>
      <c r="G211" s="65"/>
      <c r="J211" s="1"/>
      <c r="K211" s="1"/>
      <c r="L211" s="1"/>
      <c r="M211" s="1"/>
      <c r="N211" s="1"/>
    </row>
    <row r="212" spans="1:14" s="3" customFormat="1" ht="15">
      <c r="A212" s="580" t="s">
        <v>1774</v>
      </c>
      <c r="B212" s="583" t="s">
        <v>1775</v>
      </c>
      <c r="C212" s="583"/>
      <c r="D212" s="583"/>
      <c r="E212" s="583"/>
      <c r="G212" s="65"/>
      <c r="J212" s="1"/>
      <c r="K212" s="1"/>
      <c r="L212" s="1"/>
      <c r="M212" s="1"/>
      <c r="N212" s="1"/>
    </row>
    <row r="213" spans="1:14" s="3" customFormat="1" ht="15">
      <c r="A213" s="369" t="s">
        <v>1776</v>
      </c>
      <c r="B213" s="603" t="s">
        <v>1219</v>
      </c>
      <c r="C213" s="387">
        <v>5</v>
      </c>
      <c r="D213" s="325" t="s">
        <v>5</v>
      </c>
      <c r="E213" s="325"/>
      <c r="G213" s="65"/>
      <c r="J213" s="1"/>
      <c r="K213" s="1"/>
      <c r="L213" s="1"/>
      <c r="M213" s="1"/>
      <c r="N213" s="1"/>
    </row>
    <row r="214" spans="1:14" s="3" customFormat="1" ht="15">
      <c r="A214" s="369" t="s">
        <v>1777</v>
      </c>
      <c r="B214" s="357" t="s">
        <v>256</v>
      </c>
      <c r="C214" s="322">
        <v>1</v>
      </c>
      <c r="D214" s="319" t="s">
        <v>5</v>
      </c>
      <c r="E214" s="319"/>
      <c r="G214" s="65"/>
      <c r="J214" s="1"/>
      <c r="K214" s="1"/>
      <c r="L214" s="1"/>
      <c r="M214" s="1"/>
      <c r="N214" s="1"/>
    </row>
    <row r="215" spans="1:14" s="3" customFormat="1" ht="15">
      <c r="A215" s="369" t="s">
        <v>1778</v>
      </c>
      <c r="B215" s="357" t="s">
        <v>1218</v>
      </c>
      <c r="C215" s="322">
        <v>9</v>
      </c>
      <c r="D215" s="319" t="s">
        <v>5</v>
      </c>
      <c r="E215" s="319"/>
      <c r="G215" s="65"/>
      <c r="J215" s="1"/>
      <c r="K215" s="1"/>
      <c r="L215" s="1"/>
      <c r="M215" s="1"/>
      <c r="N215" s="1"/>
    </row>
    <row r="216" spans="1:14" s="3" customFormat="1" ht="15">
      <c r="A216" s="369" t="s">
        <v>1779</v>
      </c>
      <c r="B216" s="306" t="s">
        <v>264</v>
      </c>
      <c r="C216" s="313">
        <v>2</v>
      </c>
      <c r="D216" s="308" t="s">
        <v>5</v>
      </c>
      <c r="E216" s="308"/>
      <c r="G216" s="65"/>
      <c r="J216" s="1"/>
      <c r="K216" s="1"/>
      <c r="L216" s="1"/>
      <c r="M216" s="1"/>
      <c r="N216" s="1"/>
    </row>
    <row r="217" spans="1:14" s="3" customFormat="1" ht="15">
      <c r="A217" s="369" t="s">
        <v>1780</v>
      </c>
      <c r="B217" s="357" t="s">
        <v>1220</v>
      </c>
      <c r="C217" s="322">
        <v>1</v>
      </c>
      <c r="D217" s="322" t="s">
        <v>5</v>
      </c>
      <c r="E217" s="322"/>
      <c r="G217" s="65"/>
      <c r="J217" s="1"/>
      <c r="K217" s="1"/>
      <c r="L217" s="1"/>
      <c r="M217" s="1"/>
      <c r="N217" s="1"/>
    </row>
    <row r="218" spans="1:14" s="3" customFormat="1" ht="15">
      <c r="A218" s="569" t="s">
        <v>1631</v>
      </c>
      <c r="B218" s="575" t="s">
        <v>1632</v>
      </c>
      <c r="C218" s="569"/>
      <c r="D218" s="569"/>
      <c r="E218" s="569"/>
      <c r="F218" s="3" t="e">
        <f>B218*#REF!+B218*#REF!</f>
        <v>#VALUE!</v>
      </c>
      <c r="G218" s="65" t="e">
        <f>F218*(1+#REF!)</f>
        <v>#VALUE!</v>
      </c>
      <c r="J218" s="1"/>
      <c r="K218" s="1"/>
      <c r="L218" s="1"/>
      <c r="M218" s="1"/>
      <c r="N218" s="1"/>
    </row>
    <row r="219" spans="1:14" s="3" customFormat="1" ht="15">
      <c r="A219" s="580" t="s">
        <v>1633</v>
      </c>
      <c r="B219" s="583" t="s">
        <v>1634</v>
      </c>
      <c r="C219" s="583"/>
      <c r="D219" s="583"/>
      <c r="E219" s="583"/>
      <c r="F219" s="3" t="e">
        <f>B219*#REF!+B219*#REF!</f>
        <v>#VALUE!</v>
      </c>
      <c r="G219" s="65" t="e">
        <f>F219*(1+#REF!)</f>
        <v>#VALUE!</v>
      </c>
      <c r="J219" s="1"/>
      <c r="K219" s="1"/>
      <c r="L219" s="1"/>
      <c r="M219" s="1"/>
      <c r="N219" s="1"/>
    </row>
    <row r="220" spans="1:14" s="3" customFormat="1" ht="15">
      <c r="A220" s="701" t="s">
        <v>1773</v>
      </c>
      <c r="B220" s="400" t="s">
        <v>1336</v>
      </c>
      <c r="C220" s="626">
        <v>1</v>
      </c>
      <c r="D220" s="626" t="s">
        <v>1337</v>
      </c>
      <c r="E220" s="626"/>
      <c r="G220" s="65"/>
      <c r="J220" s="1"/>
      <c r="K220" s="1"/>
      <c r="L220" s="1"/>
      <c r="M220" s="1"/>
      <c r="N220" s="1"/>
    </row>
    <row r="221" spans="1:13" s="3" customFormat="1" ht="15">
      <c r="A221" s="571" t="s">
        <v>1495</v>
      </c>
      <c r="B221" s="689" t="s">
        <v>1494</v>
      </c>
      <c r="C221" s="571"/>
      <c r="D221" s="571"/>
      <c r="E221" s="571"/>
      <c r="F221" s="65"/>
      <c r="I221" s="1"/>
      <c r="J221" s="1"/>
      <c r="K221" s="1"/>
      <c r="L221" s="1"/>
      <c r="M221" s="1"/>
    </row>
    <row r="222" spans="1:13" s="3" customFormat="1" ht="15">
      <c r="A222" s="578" t="s">
        <v>1496</v>
      </c>
      <c r="B222" s="579" t="s">
        <v>1781</v>
      </c>
      <c r="C222" s="578"/>
      <c r="D222" s="578"/>
      <c r="E222" s="578"/>
      <c r="F222" s="65"/>
      <c r="I222" s="1"/>
      <c r="J222" s="1"/>
      <c r="K222" s="1"/>
      <c r="L222" s="1"/>
      <c r="M222" s="1"/>
    </row>
    <row r="223" spans="1:13" s="3" customFormat="1" ht="38.25">
      <c r="A223" s="326" t="s">
        <v>1782</v>
      </c>
      <c r="B223" s="332" t="s">
        <v>224</v>
      </c>
      <c r="C223" s="322">
        <v>1</v>
      </c>
      <c r="D223" s="319" t="s">
        <v>5</v>
      </c>
      <c r="E223" s="319"/>
      <c r="F223" s="65"/>
      <c r="I223" s="1"/>
      <c r="J223" s="1"/>
      <c r="K223" s="1"/>
      <c r="L223" s="1"/>
      <c r="M223" s="1"/>
    </row>
    <row r="224" spans="1:13" s="3" customFormat="1" ht="15">
      <c r="A224" s="578" t="s">
        <v>1499</v>
      </c>
      <c r="B224" s="579" t="s">
        <v>1500</v>
      </c>
      <c r="C224" s="578"/>
      <c r="D224" s="578"/>
      <c r="E224" s="578"/>
      <c r="F224" s="65"/>
      <c r="I224" s="1"/>
      <c r="J224" s="1"/>
      <c r="K224" s="1"/>
      <c r="L224" s="1"/>
      <c r="M224" s="1"/>
    </row>
    <row r="225" spans="1:13" s="3" customFormat="1" ht="38.25">
      <c r="A225" s="326" t="s">
        <v>1783</v>
      </c>
      <c r="B225" s="351" t="s">
        <v>1501</v>
      </c>
      <c r="C225" s="322">
        <v>100</v>
      </c>
      <c r="D225" s="319" t="s">
        <v>5</v>
      </c>
      <c r="E225" s="319"/>
      <c r="F225" s="65"/>
      <c r="I225" s="1"/>
      <c r="J225" s="1"/>
      <c r="K225" s="1"/>
      <c r="L225" s="1"/>
      <c r="M225" s="1"/>
    </row>
    <row r="226" spans="1:13" s="3" customFormat="1" ht="38.25">
      <c r="A226" s="326" t="s">
        <v>1784</v>
      </c>
      <c r="B226" s="581" t="s">
        <v>1502</v>
      </c>
      <c r="C226" s="313">
        <v>9</v>
      </c>
      <c r="D226" s="308" t="s">
        <v>5</v>
      </c>
      <c r="E226" s="308"/>
      <c r="F226" s="65"/>
      <c r="I226" s="1"/>
      <c r="J226" s="1"/>
      <c r="K226" s="1"/>
      <c r="L226" s="1"/>
      <c r="M226" s="1"/>
    </row>
    <row r="227" spans="1:13" s="3" customFormat="1" ht="15">
      <c r="A227" s="580" t="s">
        <v>1516</v>
      </c>
      <c r="B227" s="583" t="s">
        <v>1517</v>
      </c>
      <c r="C227" s="580"/>
      <c r="D227" s="580"/>
      <c r="E227" s="580"/>
      <c r="F227" s="65"/>
      <c r="I227" s="1"/>
      <c r="J227" s="1"/>
      <c r="K227" s="1"/>
      <c r="L227" s="1"/>
      <c r="M227" s="1"/>
    </row>
    <row r="228" spans="1:13" s="3" customFormat="1" ht="51">
      <c r="A228" s="326" t="s">
        <v>1785</v>
      </c>
      <c r="B228" s="379" t="s">
        <v>1514</v>
      </c>
      <c r="C228" s="322">
        <v>470</v>
      </c>
      <c r="D228" s="319" t="s">
        <v>4</v>
      </c>
      <c r="E228" s="319"/>
      <c r="F228" s="65"/>
      <c r="I228" s="1"/>
      <c r="J228" s="1"/>
      <c r="K228" s="1"/>
      <c r="L228" s="1"/>
      <c r="M228" s="1"/>
    </row>
    <row r="229" spans="1:13" s="3" customFormat="1" ht="51">
      <c r="A229" s="326" t="s">
        <v>1786</v>
      </c>
      <c r="B229" s="584" t="s">
        <v>1515</v>
      </c>
      <c r="C229" s="387">
        <v>500</v>
      </c>
      <c r="D229" s="325" t="s">
        <v>4</v>
      </c>
      <c r="E229" s="325"/>
      <c r="F229" s="65"/>
      <c r="I229" s="1"/>
      <c r="J229" s="1"/>
      <c r="K229" s="1"/>
      <c r="L229" s="1"/>
      <c r="M229" s="1"/>
    </row>
    <row r="230" spans="1:13" s="3" customFormat="1" ht="15">
      <c r="A230" s="580" t="s">
        <v>1503</v>
      </c>
      <c r="B230" s="579" t="s">
        <v>1504</v>
      </c>
      <c r="C230" s="580"/>
      <c r="D230" s="580"/>
      <c r="E230" s="580"/>
      <c r="F230" s="65"/>
      <c r="I230" s="1"/>
      <c r="J230" s="1"/>
      <c r="K230" s="1"/>
      <c r="L230" s="1"/>
      <c r="M230" s="1"/>
    </row>
    <row r="231" spans="1:13" s="3" customFormat="1" ht="15">
      <c r="A231" s="326" t="s">
        <v>1787</v>
      </c>
      <c r="B231" s="379" t="s">
        <v>1505</v>
      </c>
      <c r="C231" s="313">
        <v>52</v>
      </c>
      <c r="D231" s="308" t="s">
        <v>6</v>
      </c>
      <c r="E231" s="308"/>
      <c r="F231" s="65"/>
      <c r="I231" s="1"/>
      <c r="J231" s="1"/>
      <c r="K231" s="1"/>
      <c r="L231" s="1"/>
      <c r="M231" s="1"/>
    </row>
    <row r="232" spans="1:13" s="3" customFormat="1" ht="15">
      <c r="A232" s="326" t="s">
        <v>1788</v>
      </c>
      <c r="B232" s="379" t="s">
        <v>1506</v>
      </c>
      <c r="C232" s="322">
        <v>8</v>
      </c>
      <c r="D232" s="319" t="s">
        <v>6</v>
      </c>
      <c r="E232" s="319"/>
      <c r="F232" s="65"/>
      <c r="I232" s="1"/>
      <c r="J232" s="1"/>
      <c r="K232" s="1"/>
      <c r="L232" s="1"/>
      <c r="M232" s="1"/>
    </row>
    <row r="233" spans="1:13" s="3" customFormat="1" ht="15">
      <c r="A233" s="578" t="s">
        <v>1497</v>
      </c>
      <c r="B233" s="579" t="s">
        <v>1498</v>
      </c>
      <c r="C233" s="577"/>
      <c r="D233" s="577"/>
      <c r="E233" s="577"/>
      <c r="F233" s="65"/>
      <c r="I233" s="1"/>
      <c r="J233" s="1"/>
      <c r="K233" s="1"/>
      <c r="L233" s="1"/>
      <c r="M233" s="1"/>
    </row>
    <row r="234" spans="1:13" s="3" customFormat="1" ht="25.5">
      <c r="A234" s="326" t="s">
        <v>1789</v>
      </c>
      <c r="B234" s="352" t="s">
        <v>225</v>
      </c>
      <c r="C234" s="327">
        <v>5</v>
      </c>
      <c r="D234" s="319" t="s">
        <v>5</v>
      </c>
      <c r="E234" s="319"/>
      <c r="F234" s="65"/>
      <c r="I234" s="1"/>
      <c r="J234" s="1"/>
      <c r="K234" s="1"/>
      <c r="L234" s="1"/>
      <c r="M234" s="1"/>
    </row>
    <row r="235" spans="1:13" s="3" customFormat="1" ht="25.5">
      <c r="A235" s="326" t="s">
        <v>1790</v>
      </c>
      <c r="B235" s="352" t="s">
        <v>226</v>
      </c>
      <c r="C235" s="327">
        <v>1</v>
      </c>
      <c r="D235" s="319" t="s">
        <v>5</v>
      </c>
      <c r="E235" s="319"/>
      <c r="F235" s="65"/>
      <c r="I235" s="1"/>
      <c r="J235" s="1"/>
      <c r="K235" s="1"/>
      <c r="L235" s="1"/>
      <c r="M235" s="1"/>
    </row>
    <row r="236" spans="1:13" s="3" customFormat="1" ht="25.5">
      <c r="A236" s="326" t="s">
        <v>1791</v>
      </c>
      <c r="B236" s="576" t="s">
        <v>227</v>
      </c>
      <c r="C236" s="322">
        <v>1</v>
      </c>
      <c r="D236" s="319" t="s">
        <v>5</v>
      </c>
      <c r="E236" s="319"/>
      <c r="F236" s="65"/>
      <c r="I236" s="1"/>
      <c r="J236" s="1"/>
      <c r="K236" s="1"/>
      <c r="L236" s="1"/>
      <c r="M236" s="1"/>
    </row>
    <row r="237" spans="1:13" s="3" customFormat="1" ht="25.5">
      <c r="A237" s="326" t="s">
        <v>1792</v>
      </c>
      <c r="B237" s="321" t="s">
        <v>228</v>
      </c>
      <c r="C237" s="322">
        <v>1</v>
      </c>
      <c r="D237" s="319" t="s">
        <v>5</v>
      </c>
      <c r="E237" s="319"/>
      <c r="F237" s="65"/>
      <c r="I237" s="1"/>
      <c r="J237" s="1"/>
      <c r="K237" s="1"/>
      <c r="L237" s="1"/>
      <c r="M237" s="1"/>
    </row>
    <row r="238" spans="1:14" s="3" customFormat="1" ht="15">
      <c r="A238" s="571" t="s">
        <v>1487</v>
      </c>
      <c r="B238" s="921" t="s">
        <v>1488</v>
      </c>
      <c r="C238" s="921"/>
      <c r="D238" s="571"/>
      <c r="E238" s="571"/>
      <c r="G238" s="65"/>
      <c r="J238" s="1"/>
      <c r="K238" s="1"/>
      <c r="L238" s="1"/>
      <c r="M238" s="1"/>
      <c r="N238" s="1"/>
    </row>
    <row r="239" spans="1:14" s="3" customFormat="1" ht="15">
      <c r="A239" s="578" t="s">
        <v>1489</v>
      </c>
      <c r="B239" s="579" t="s">
        <v>1492</v>
      </c>
      <c r="C239" s="579"/>
      <c r="D239" s="577"/>
      <c r="E239" s="577"/>
      <c r="G239" s="65"/>
      <c r="J239" s="1"/>
      <c r="K239" s="1"/>
      <c r="L239" s="1"/>
      <c r="M239" s="1"/>
      <c r="N239" s="1"/>
    </row>
    <row r="240" spans="1:13" s="3" customFormat="1" ht="102">
      <c r="A240" s="326" t="s">
        <v>1793</v>
      </c>
      <c r="B240" s="379" t="s">
        <v>212</v>
      </c>
      <c r="C240" s="322">
        <v>4</v>
      </c>
      <c r="D240" s="319" t="s">
        <v>5</v>
      </c>
      <c r="E240" s="319"/>
      <c r="F240" s="65"/>
      <c r="I240" s="1"/>
      <c r="J240" s="1"/>
      <c r="K240" s="1"/>
      <c r="L240" s="1"/>
      <c r="M240" s="1"/>
    </row>
    <row r="241" spans="1:13" s="3" customFormat="1" ht="51">
      <c r="A241" s="326" t="s">
        <v>1794</v>
      </c>
      <c r="B241" s="304" t="s">
        <v>213</v>
      </c>
      <c r="C241" s="313">
        <v>10</v>
      </c>
      <c r="D241" s="308" t="s">
        <v>5</v>
      </c>
      <c r="E241" s="308"/>
      <c r="F241" s="65"/>
      <c r="I241" s="1"/>
      <c r="J241" s="1"/>
      <c r="K241" s="1"/>
      <c r="L241" s="1"/>
      <c r="M241" s="1"/>
    </row>
    <row r="242" spans="1:13" s="3" customFormat="1" ht="51">
      <c r="A242" s="326" t="s">
        <v>1795</v>
      </c>
      <c r="B242" s="332" t="s">
        <v>215</v>
      </c>
      <c r="C242" s="322">
        <v>11</v>
      </c>
      <c r="D242" s="319" t="s">
        <v>5</v>
      </c>
      <c r="E242" s="319"/>
      <c r="F242" s="65"/>
      <c r="I242" s="1"/>
      <c r="J242" s="1"/>
      <c r="K242" s="1"/>
      <c r="L242" s="1"/>
      <c r="M242" s="1"/>
    </row>
    <row r="243" spans="1:13" s="3" customFormat="1" ht="25.5">
      <c r="A243" s="326" t="s">
        <v>1796</v>
      </c>
      <c r="B243" s="332" t="s">
        <v>216</v>
      </c>
      <c r="C243" s="322">
        <v>8</v>
      </c>
      <c r="D243" s="319" t="s">
        <v>5</v>
      </c>
      <c r="E243" s="319"/>
      <c r="F243" s="65"/>
      <c r="I243" s="1"/>
      <c r="J243" s="1"/>
      <c r="K243" s="1"/>
      <c r="L243" s="1"/>
      <c r="M243" s="1"/>
    </row>
    <row r="244" spans="1:14" s="3" customFormat="1" ht="15">
      <c r="A244" s="578" t="s">
        <v>1490</v>
      </c>
      <c r="B244" s="579" t="s">
        <v>1493</v>
      </c>
      <c r="C244" s="579"/>
      <c r="D244" s="577"/>
      <c r="E244" s="577"/>
      <c r="G244" s="65"/>
      <c r="J244" s="1"/>
      <c r="K244" s="1"/>
      <c r="L244" s="1"/>
      <c r="M244" s="1"/>
      <c r="N244" s="1"/>
    </row>
    <row r="245" spans="1:13" s="3" customFormat="1" ht="25.5">
      <c r="A245" s="326" t="s">
        <v>1797</v>
      </c>
      <c r="B245" s="351" t="s">
        <v>219</v>
      </c>
      <c r="C245" s="322">
        <v>2</v>
      </c>
      <c r="D245" s="319" t="s">
        <v>5</v>
      </c>
      <c r="E245" s="319"/>
      <c r="F245" s="65"/>
      <c r="I245" s="1"/>
      <c r="J245" s="1"/>
      <c r="K245" s="1"/>
      <c r="L245" s="1"/>
      <c r="M245" s="1"/>
    </row>
    <row r="246" spans="1:13" s="3" customFormat="1" ht="25.5">
      <c r="A246" s="326" t="s">
        <v>1798</v>
      </c>
      <c r="B246" s="379" t="s">
        <v>220</v>
      </c>
      <c r="C246" s="322">
        <v>5</v>
      </c>
      <c r="D246" s="319" t="s">
        <v>5</v>
      </c>
      <c r="E246" s="319"/>
      <c r="F246" s="65"/>
      <c r="I246" s="1"/>
      <c r="J246" s="1"/>
      <c r="K246" s="1"/>
      <c r="L246" s="1"/>
      <c r="M246" s="1"/>
    </row>
    <row r="247" spans="1:14" s="3" customFormat="1" ht="15">
      <c r="A247" s="580" t="s">
        <v>1491</v>
      </c>
      <c r="B247" s="583" t="s">
        <v>221</v>
      </c>
      <c r="C247" s="583"/>
      <c r="D247" s="687"/>
      <c r="E247" s="687"/>
      <c r="G247" s="65"/>
      <c r="J247" s="1"/>
      <c r="K247" s="1"/>
      <c r="L247" s="1"/>
      <c r="M247" s="1"/>
      <c r="N247" s="1"/>
    </row>
    <row r="248" spans="1:13" s="3" customFormat="1" ht="38.25">
      <c r="A248" s="326" t="s">
        <v>1799</v>
      </c>
      <c r="B248" s="321" t="s">
        <v>218</v>
      </c>
      <c r="C248" s="322">
        <v>33</v>
      </c>
      <c r="D248" s="319" t="s">
        <v>5</v>
      </c>
      <c r="E248" s="319"/>
      <c r="F248" s="65"/>
      <c r="I248" s="1"/>
      <c r="J248" s="1"/>
      <c r="K248" s="1"/>
      <c r="L248" s="1"/>
      <c r="M248" s="1"/>
    </row>
    <row r="249" spans="1:13" s="3" customFormat="1" ht="25.5">
      <c r="A249" s="309" t="s">
        <v>1800</v>
      </c>
      <c r="B249" s="302" t="s">
        <v>222</v>
      </c>
      <c r="C249" s="313">
        <v>2</v>
      </c>
      <c r="D249" s="308" t="s">
        <v>5</v>
      </c>
      <c r="E249" s="308"/>
      <c r="F249" s="65"/>
      <c r="I249" s="1"/>
      <c r="J249" s="1"/>
      <c r="K249" s="1"/>
      <c r="L249" s="1"/>
      <c r="M249" s="1"/>
    </row>
    <row r="250" spans="1:14" s="3" customFormat="1" ht="15">
      <c r="A250" s="571" t="s">
        <v>1507</v>
      </c>
      <c r="B250" s="700" t="s">
        <v>1508</v>
      </c>
      <c r="C250" s="700"/>
      <c r="D250" s="571"/>
      <c r="E250" s="571"/>
      <c r="G250" s="65"/>
      <c r="J250" s="1"/>
      <c r="K250" s="1"/>
      <c r="L250" s="1"/>
      <c r="M250" s="1"/>
      <c r="N250" s="1"/>
    </row>
    <row r="251" spans="1:13" s="3" customFormat="1" ht="15">
      <c r="A251" s="580" t="s">
        <v>1509</v>
      </c>
      <c r="B251" s="583" t="s">
        <v>1510</v>
      </c>
      <c r="C251" s="687"/>
      <c r="D251" s="687"/>
      <c r="E251" s="687"/>
      <c r="F251" s="65"/>
      <c r="I251" s="1"/>
      <c r="J251" s="1"/>
      <c r="K251" s="1"/>
      <c r="L251" s="1"/>
      <c r="M251" s="1"/>
    </row>
    <row r="252" spans="1:13" s="3" customFormat="1" ht="38.25">
      <c r="A252" s="326" t="s">
        <v>1801</v>
      </c>
      <c r="B252" s="351" t="s">
        <v>1511</v>
      </c>
      <c r="C252" s="322">
        <v>5</v>
      </c>
      <c r="D252" s="319" t="s">
        <v>5</v>
      </c>
      <c r="E252" s="319"/>
      <c r="F252" s="65"/>
      <c r="I252" s="1"/>
      <c r="J252" s="1"/>
      <c r="K252" s="1"/>
      <c r="L252" s="1"/>
      <c r="M252" s="1"/>
    </row>
    <row r="253" spans="1:13" s="3" customFormat="1" ht="38.25">
      <c r="A253" s="326" t="s">
        <v>1802</v>
      </c>
      <c r="B253" s="351" t="s">
        <v>1512</v>
      </c>
      <c r="C253" s="313">
        <v>2</v>
      </c>
      <c r="D253" s="308" t="s">
        <v>5</v>
      </c>
      <c r="E253" s="308"/>
      <c r="F253" s="65"/>
      <c r="I253" s="1"/>
      <c r="J253" s="1"/>
      <c r="K253" s="1"/>
      <c r="L253" s="1"/>
      <c r="M253" s="1"/>
    </row>
    <row r="254" spans="1:13" s="3" customFormat="1" ht="38.25">
      <c r="A254" s="326" t="s">
        <v>1803</v>
      </c>
      <c r="B254" s="351" t="s">
        <v>1513</v>
      </c>
      <c r="C254" s="322">
        <v>2</v>
      </c>
      <c r="D254" s="319" t="s">
        <v>5</v>
      </c>
      <c r="E254" s="319"/>
      <c r="F254" s="65"/>
      <c r="I254" s="1"/>
      <c r="J254" s="1"/>
      <c r="K254" s="1"/>
      <c r="L254" s="1"/>
      <c r="M254" s="1"/>
    </row>
    <row r="255" spans="1:13" s="3" customFormat="1" ht="15">
      <c r="A255" s="580" t="s">
        <v>1804</v>
      </c>
      <c r="B255" s="583" t="s">
        <v>1805</v>
      </c>
      <c r="C255" s="687"/>
      <c r="D255" s="687"/>
      <c r="E255" s="687"/>
      <c r="F255" s="65"/>
      <c r="I255" s="1"/>
      <c r="J255" s="1"/>
      <c r="K255" s="1"/>
      <c r="L255" s="1"/>
      <c r="M255" s="1"/>
    </row>
    <row r="256" spans="1:13" s="3" customFormat="1" ht="15">
      <c r="A256" s="641" t="s">
        <v>1806</v>
      </c>
      <c r="B256" s="324" t="s">
        <v>217</v>
      </c>
      <c r="C256" s="387">
        <v>1</v>
      </c>
      <c r="D256" s="325" t="s">
        <v>5</v>
      </c>
      <c r="E256" s="325"/>
      <c r="F256" s="65"/>
      <c r="I256" s="1"/>
      <c r="J256" s="1"/>
      <c r="K256" s="1"/>
      <c r="L256" s="1"/>
      <c r="M256" s="1"/>
    </row>
    <row r="257" spans="1:13" s="3" customFormat="1" ht="25.5">
      <c r="A257" s="326" t="s">
        <v>1807</v>
      </c>
      <c r="B257" s="624" t="s">
        <v>223</v>
      </c>
      <c r="C257" s="626">
        <v>2</v>
      </c>
      <c r="D257" s="623" t="s">
        <v>66</v>
      </c>
      <c r="E257" s="623"/>
      <c r="F257" s="65"/>
      <c r="I257" s="1"/>
      <c r="J257" s="1"/>
      <c r="K257" s="1"/>
      <c r="L257" s="1"/>
      <c r="M257" s="1"/>
    </row>
    <row r="258" spans="1:13" s="3" customFormat="1" ht="38.25">
      <c r="A258" s="326" t="s">
        <v>1808</v>
      </c>
      <c r="B258" s="332" t="s">
        <v>229</v>
      </c>
      <c r="C258" s="322">
        <v>1</v>
      </c>
      <c r="D258" s="319" t="s">
        <v>5</v>
      </c>
      <c r="E258" s="319"/>
      <c r="F258" s="65"/>
      <c r="I258" s="1"/>
      <c r="J258" s="1"/>
      <c r="K258" s="1"/>
      <c r="L258" s="1"/>
      <c r="M258" s="1"/>
    </row>
    <row r="259" spans="1:13" s="3" customFormat="1" ht="15">
      <c r="A259" s="569" t="s">
        <v>1456</v>
      </c>
      <c r="B259" s="693" t="s">
        <v>1457</v>
      </c>
      <c r="C259" s="570"/>
      <c r="D259" s="570"/>
      <c r="E259" s="570"/>
      <c r="F259" s="65"/>
      <c r="I259" s="1"/>
      <c r="J259" s="1"/>
      <c r="K259" s="1"/>
      <c r="L259" s="1"/>
      <c r="M259" s="1"/>
    </row>
    <row r="260" spans="1:13" s="3" customFormat="1" ht="15">
      <c r="A260" s="571" t="s">
        <v>1478</v>
      </c>
      <c r="B260" s="692" t="s">
        <v>1479</v>
      </c>
      <c r="C260" s="570"/>
      <c r="D260" s="570"/>
      <c r="E260" s="570"/>
      <c r="F260" s="65"/>
      <c r="I260" s="1"/>
      <c r="J260" s="1"/>
      <c r="K260" s="1"/>
      <c r="L260" s="1"/>
      <c r="M260" s="1"/>
    </row>
    <row r="261" spans="1:13" s="3" customFormat="1" ht="15">
      <c r="A261" s="580" t="s">
        <v>1480</v>
      </c>
      <c r="B261" s="583" t="s">
        <v>1812</v>
      </c>
      <c r="C261" s="687"/>
      <c r="D261" s="687"/>
      <c r="E261" s="687"/>
      <c r="F261" s="65"/>
      <c r="I261" s="1"/>
      <c r="J261" s="1"/>
      <c r="K261" s="1"/>
      <c r="L261" s="1"/>
      <c r="M261" s="1"/>
    </row>
    <row r="262" spans="1:13" s="3" customFormat="1" ht="38.25">
      <c r="A262" s="326" t="s">
        <v>1809</v>
      </c>
      <c r="B262" s="332" t="s">
        <v>230</v>
      </c>
      <c r="C262" s="322">
        <v>3</v>
      </c>
      <c r="D262" s="319" t="s">
        <v>5</v>
      </c>
      <c r="E262" s="319"/>
      <c r="F262" s="65"/>
      <c r="I262" s="1"/>
      <c r="J262" s="1"/>
      <c r="K262" s="1"/>
      <c r="L262" s="1"/>
      <c r="M262" s="1"/>
    </row>
    <row r="263" spans="1:13" s="3" customFormat="1" ht="15">
      <c r="A263" s="569" t="s">
        <v>1477</v>
      </c>
      <c r="B263" s="692" t="s">
        <v>1482</v>
      </c>
      <c r="C263" s="570"/>
      <c r="D263" s="570"/>
      <c r="E263" s="570"/>
      <c r="F263" s="65"/>
      <c r="I263" s="1"/>
      <c r="J263" s="1"/>
      <c r="K263" s="1"/>
      <c r="L263" s="1"/>
      <c r="M263" s="1"/>
    </row>
    <row r="264" spans="1:13" s="3" customFormat="1" ht="15">
      <c r="A264" s="580" t="s">
        <v>1481</v>
      </c>
      <c r="B264" s="583" t="s">
        <v>1813</v>
      </c>
      <c r="C264" s="687"/>
      <c r="D264" s="687"/>
      <c r="E264" s="687"/>
      <c r="F264" s="65"/>
      <c r="I264" s="1"/>
      <c r="J264" s="1"/>
      <c r="K264" s="1"/>
      <c r="L264" s="1"/>
      <c r="M264" s="1"/>
    </row>
    <row r="265" spans="1:13" s="3" customFormat="1" ht="25.5">
      <c r="A265" s="326" t="s">
        <v>1810</v>
      </c>
      <c r="B265" s="302" t="s">
        <v>231</v>
      </c>
      <c r="C265" s="322">
        <v>3</v>
      </c>
      <c r="D265" s="319" t="s">
        <v>5</v>
      </c>
      <c r="E265" s="319"/>
      <c r="F265" s="65"/>
      <c r="I265" s="1"/>
      <c r="J265" s="1"/>
      <c r="K265" s="1"/>
      <c r="L265" s="1"/>
      <c r="M265" s="1"/>
    </row>
    <row r="266" spans="1:13" s="3" customFormat="1" ht="15">
      <c r="A266" s="569" t="s">
        <v>1483</v>
      </c>
      <c r="B266" s="692" t="s">
        <v>1484</v>
      </c>
      <c r="C266" s="570"/>
      <c r="D266" s="570"/>
      <c r="E266" s="570"/>
      <c r="F266" s="65"/>
      <c r="I266" s="1"/>
      <c r="J266" s="1"/>
      <c r="K266" s="1"/>
      <c r="L266" s="1"/>
      <c r="M266" s="1"/>
    </row>
    <row r="267" spans="1:13" s="3" customFormat="1" ht="15">
      <c r="A267" s="580" t="s">
        <v>1485</v>
      </c>
      <c r="B267" s="583" t="s">
        <v>1814</v>
      </c>
      <c r="C267" s="687"/>
      <c r="D267" s="687"/>
      <c r="E267" s="687"/>
      <c r="F267" s="65"/>
      <c r="I267" s="1"/>
      <c r="J267" s="1"/>
      <c r="K267" s="1"/>
      <c r="L267" s="1"/>
      <c r="M267" s="1"/>
    </row>
    <row r="268" spans="1:13" s="3" customFormat="1" ht="38.25">
      <c r="A268" s="377" t="s">
        <v>1811</v>
      </c>
      <c r="B268" s="332" t="s">
        <v>1251</v>
      </c>
      <c r="C268" s="322">
        <v>3</v>
      </c>
      <c r="D268" s="319" t="s">
        <v>5</v>
      </c>
      <c r="E268" s="319"/>
      <c r="F268" s="65"/>
      <c r="I268" s="1"/>
      <c r="J268" s="1"/>
      <c r="K268" s="1"/>
      <c r="L268" s="1"/>
      <c r="M268" s="1"/>
    </row>
    <row r="269" spans="1:13" s="3" customFormat="1" ht="15">
      <c r="A269" s="580" t="s">
        <v>1462</v>
      </c>
      <c r="B269" s="583" t="s">
        <v>1816</v>
      </c>
      <c r="C269" s="687"/>
      <c r="D269" s="687"/>
      <c r="E269" s="687"/>
      <c r="F269" s="65"/>
      <c r="I269" s="1"/>
      <c r="J269" s="1"/>
      <c r="K269" s="1"/>
      <c r="L269" s="1"/>
      <c r="M269" s="1"/>
    </row>
    <row r="270" spans="1:13" s="3" customFormat="1" ht="15">
      <c r="A270" s="353" t="s">
        <v>1815</v>
      </c>
      <c r="B270" s="379" t="s">
        <v>270</v>
      </c>
      <c r="C270" s="354">
        <v>1</v>
      </c>
      <c r="D270" s="319" t="s">
        <v>1435</v>
      </c>
      <c r="E270" s="319"/>
      <c r="F270" s="65"/>
      <c r="I270" s="1"/>
      <c r="J270" s="1"/>
      <c r="K270" s="1"/>
      <c r="L270" s="1"/>
      <c r="M270" s="1"/>
    </row>
    <row r="271" spans="1:13" s="3" customFormat="1" ht="15">
      <c r="A271" s="353" t="s">
        <v>1817</v>
      </c>
      <c r="B271" s="321" t="s">
        <v>169</v>
      </c>
      <c r="C271" s="322">
        <v>1</v>
      </c>
      <c r="D271" s="319" t="s">
        <v>1435</v>
      </c>
      <c r="E271" s="319"/>
      <c r="F271" s="65"/>
      <c r="I271" s="1"/>
      <c r="J271" s="1"/>
      <c r="K271" s="1"/>
      <c r="L271" s="1"/>
      <c r="M271" s="1"/>
    </row>
    <row r="272" spans="1:13" s="3" customFormat="1" ht="15">
      <c r="A272" s="580" t="s">
        <v>1463</v>
      </c>
      <c r="B272" s="583" t="s">
        <v>1818</v>
      </c>
      <c r="C272" s="687"/>
      <c r="D272" s="687"/>
      <c r="E272" s="687"/>
      <c r="F272" s="65"/>
      <c r="I272" s="1"/>
      <c r="J272" s="1"/>
      <c r="K272" s="1"/>
      <c r="L272" s="1"/>
      <c r="M272" s="1"/>
    </row>
    <row r="273" spans="1:13" s="3" customFormat="1" ht="15">
      <c r="A273" s="310" t="s">
        <v>1819</v>
      </c>
      <c r="B273" s="302" t="s">
        <v>271</v>
      </c>
      <c r="C273" s="317">
        <v>1</v>
      </c>
      <c r="D273" s="308" t="s">
        <v>1435</v>
      </c>
      <c r="E273" s="308"/>
      <c r="F273" s="65"/>
      <c r="I273" s="1"/>
      <c r="J273" s="1"/>
      <c r="K273" s="1"/>
      <c r="L273" s="1"/>
      <c r="M273" s="1"/>
    </row>
    <row r="274" spans="1:14" s="3" customFormat="1" ht="15">
      <c r="A274" s="571" t="s">
        <v>1464</v>
      </c>
      <c r="B274" s="779" t="s">
        <v>1465</v>
      </c>
      <c r="C274" s="779"/>
      <c r="D274" s="570"/>
      <c r="E274" s="570"/>
      <c r="G274" s="65"/>
      <c r="J274" s="1"/>
      <c r="K274" s="1"/>
      <c r="L274" s="1"/>
      <c r="M274" s="1"/>
      <c r="N274" s="1"/>
    </row>
    <row r="275" spans="1:14" s="3" customFormat="1" ht="15">
      <c r="A275" s="569" t="s">
        <v>1466</v>
      </c>
      <c r="B275" s="779" t="s">
        <v>1467</v>
      </c>
      <c r="C275" s="779"/>
      <c r="D275" s="570"/>
      <c r="E275" s="570"/>
      <c r="G275" s="65"/>
      <c r="J275" s="1"/>
      <c r="K275" s="1"/>
      <c r="L275" s="1"/>
      <c r="M275" s="1"/>
      <c r="N275" s="1"/>
    </row>
    <row r="276" spans="1:13" s="3" customFormat="1" ht="15">
      <c r="A276" s="326" t="s">
        <v>1469</v>
      </c>
      <c r="B276" s="334" t="s">
        <v>121</v>
      </c>
      <c r="C276" s="478">
        <v>2</v>
      </c>
      <c r="D276" s="319" t="s">
        <v>1187</v>
      </c>
      <c r="E276" s="319"/>
      <c r="F276" s="65"/>
      <c r="I276" s="1"/>
      <c r="J276" s="1"/>
      <c r="K276" s="1"/>
      <c r="L276" s="1"/>
      <c r="M276" s="1"/>
    </row>
    <row r="277" spans="1:14" s="3" customFormat="1" ht="15">
      <c r="A277" s="569" t="s">
        <v>1470</v>
      </c>
      <c r="B277" s="779" t="s">
        <v>1471</v>
      </c>
      <c r="C277" s="779"/>
      <c r="D277" s="570"/>
      <c r="E277" s="570"/>
      <c r="G277" s="65"/>
      <c r="J277" s="1"/>
      <c r="K277" s="1"/>
      <c r="L277" s="1"/>
      <c r="M277" s="1"/>
      <c r="N277" s="1"/>
    </row>
    <row r="278" spans="1:13" s="3" customFormat="1" ht="15">
      <c r="A278" s="331" t="s">
        <v>1468</v>
      </c>
      <c r="B278" s="332" t="s">
        <v>120</v>
      </c>
      <c r="C278" s="333">
        <v>0.45</v>
      </c>
      <c r="D278" s="319" t="s">
        <v>1187</v>
      </c>
      <c r="E278" s="319"/>
      <c r="F278" s="65"/>
      <c r="I278" s="1"/>
      <c r="J278" s="1"/>
      <c r="K278" s="1"/>
      <c r="L278" s="1"/>
      <c r="M278" s="1"/>
    </row>
    <row r="279" spans="1:15" s="3" customFormat="1" ht="15" customHeight="1">
      <c r="A279" s="136" t="s">
        <v>363</v>
      </c>
      <c r="B279" s="138"/>
      <c r="C279" s="137"/>
      <c r="D279" s="137"/>
      <c r="E279" s="137"/>
      <c r="F279" s="356" t="e">
        <f>#REF!+#REF!+#REF!+#REF!+#REF!+#REF!+#REF!+#REF!+#REF!+#REF!+#REF!+#REF!+#REF!+#REF!+#REF!+#REF!+#REF!</f>
        <v>#REF!</v>
      </c>
      <c r="G279" s="356" t="e">
        <f>D220+#REF!+#REF!+#REF!+#REF!+#REF!+#REF!+#REF!+#REF!+#REF!+#REF!+#REF!+#REF!+#REF!+#REF!+#REF!+#REF!</f>
        <v>#VALUE!</v>
      </c>
      <c r="H279" s="356" t="e">
        <f>E220+#REF!+#REF!+#REF!+#REF!+#REF!+#REF!+#REF!+#REF!+#REF!+#REF!+#REF!+#REF!+#REF!+#REF!+#REF!+#REF!</f>
        <v>#REF!</v>
      </c>
      <c r="I279" s="356" t="e">
        <f>F220+#REF!+#REF!+#REF!+#REF!+#REF!+#REF!+#REF!+#REF!+#REF!+#REF!+#REF!+#REF!+#REF!+#REF!+#REF!+#REF!</f>
        <v>#REF!</v>
      </c>
      <c r="K279" s="1"/>
      <c r="L279" s="1"/>
      <c r="M279" s="1"/>
      <c r="N279" s="1"/>
      <c r="O279" s="1"/>
    </row>
    <row r="280" spans="1:15" s="3" customFormat="1" ht="15">
      <c r="A280" s="243" t="s">
        <v>3</v>
      </c>
      <c r="B280" s="585"/>
      <c r="C280" s="746" t="s">
        <v>364</v>
      </c>
      <c r="D280" s="748"/>
      <c r="E280" s="137"/>
      <c r="F280" s="167"/>
      <c r="H280" s="65"/>
      <c r="K280" s="1"/>
      <c r="L280" s="1"/>
      <c r="M280" s="1"/>
      <c r="N280" s="1"/>
      <c r="O280" s="1"/>
    </row>
    <row r="281" spans="1:15" s="3" customFormat="1" ht="15" customHeight="1">
      <c r="A281" s="846" t="s">
        <v>366</v>
      </c>
      <c r="B281" s="847"/>
      <c r="C281" s="146"/>
      <c r="D281" s="145"/>
      <c r="E281" s="137"/>
      <c r="F281" s="167"/>
      <c r="H281" s="65"/>
      <c r="K281" s="1"/>
      <c r="L281" s="1"/>
      <c r="M281" s="1"/>
      <c r="N281" s="1"/>
      <c r="O281" s="1"/>
    </row>
    <row r="282" spans="1:15" s="3" customFormat="1" ht="15">
      <c r="A282" s="153"/>
      <c r="B282" s="155"/>
      <c r="C282" s="158"/>
      <c r="D282" s="157"/>
      <c r="E282" s="137"/>
      <c r="F282" s="167"/>
      <c r="H282" s="65"/>
      <c r="K282" s="1"/>
      <c r="L282" s="1"/>
      <c r="M282" s="1"/>
      <c r="N282" s="1"/>
      <c r="O282" s="1"/>
    </row>
    <row r="283" spans="1:15" s="3" customFormat="1" ht="15" customHeight="1">
      <c r="A283" s="848" t="s">
        <v>367</v>
      </c>
      <c r="B283" s="849"/>
      <c r="C283" s="151"/>
      <c r="D283" s="150"/>
      <c r="E283" s="137"/>
      <c r="F283" s="167"/>
      <c r="H283" s="65"/>
      <c r="K283" s="1"/>
      <c r="L283" s="1"/>
      <c r="M283" s="1"/>
      <c r="N283" s="1"/>
      <c r="O283" s="1"/>
    </row>
    <row r="284" spans="1:13" s="3" customFormat="1" ht="12.75">
      <c r="A284" s="5"/>
      <c r="B284" s="2"/>
      <c r="C284" s="102"/>
      <c r="D284" s="2"/>
      <c r="E284" s="137"/>
      <c r="F284" s="4"/>
      <c r="H284" s="4"/>
      <c r="K284" s="1"/>
      <c r="L284" s="1"/>
      <c r="M284" s="1"/>
    </row>
    <row r="285" spans="1:13" s="3" customFormat="1" ht="12.75">
      <c r="A285" s="746" t="s">
        <v>365</v>
      </c>
      <c r="B285" s="748"/>
      <c r="C285" s="746" t="s">
        <v>364</v>
      </c>
      <c r="D285" s="748"/>
      <c r="E285" s="137"/>
      <c r="F285" s="4"/>
      <c r="H285" s="4"/>
      <c r="K285" s="1"/>
      <c r="L285" s="1"/>
      <c r="M285" s="1"/>
    </row>
    <row r="286" spans="1:13" s="3" customFormat="1" ht="12.75">
      <c r="A286" s="516"/>
      <c r="B286" s="143"/>
      <c r="C286" s="146"/>
      <c r="D286" s="145"/>
      <c r="E286" s="137"/>
      <c r="F286" s="4"/>
      <c r="H286" s="4"/>
      <c r="K286" s="1"/>
      <c r="L286" s="1"/>
      <c r="M286" s="1"/>
    </row>
    <row r="287" spans="1:13" s="3" customFormat="1" ht="12.75">
      <c r="A287" s="153"/>
      <c r="B287" s="155"/>
      <c r="C287" s="158"/>
      <c r="D287" s="157"/>
      <c r="E287" s="137"/>
      <c r="F287" s="4"/>
      <c r="H287" s="4"/>
      <c r="K287" s="1"/>
      <c r="L287" s="1"/>
      <c r="M287" s="1"/>
    </row>
    <row r="288" spans="1:5" ht="12.75">
      <c r="A288" s="517"/>
      <c r="B288" s="148"/>
      <c r="C288" s="151"/>
      <c r="D288" s="150"/>
      <c r="E288" s="137"/>
    </row>
  </sheetData>
  <sheetProtection/>
  <mergeCells count="16">
    <mergeCell ref="C280:D280"/>
    <mergeCell ref="A281:B281"/>
    <mergeCell ref="A283:B283"/>
    <mergeCell ref="A285:B285"/>
    <mergeCell ref="C285:D285"/>
    <mergeCell ref="C1:F1"/>
    <mergeCell ref="A9:E9"/>
    <mergeCell ref="A10:A11"/>
    <mergeCell ref="B10:B11"/>
    <mergeCell ref="C10:C11"/>
    <mergeCell ref="B277:C277"/>
    <mergeCell ref="D10:D11"/>
    <mergeCell ref="E10:E11"/>
    <mergeCell ref="B238:C238"/>
    <mergeCell ref="B274:C274"/>
    <mergeCell ref="B275:C275"/>
  </mergeCells>
  <printOptions horizontalCentered="1"/>
  <pageMargins left="0.3937007874015748" right="0.3937007874015748" top="0.5905511811023623" bottom="0.3937007874015748" header="0.1968503937007874" footer="0.1968503937007874"/>
  <pageSetup fitToHeight="0" fitToWidth="1" horizontalDpi="600" verticalDpi="600" orientation="portrait" paperSize="9" scale="56" r:id="rId2"/>
  <headerFooter>
    <oddHeader>&amp;L&amp;G</oddHeader>
    <oddFooter>&amp;L&amp;"-,Regular"&amp;A&amp;R&amp;"-,Regular"Página &amp;P de &amp;N</oddFooter>
  </headerFooter>
  <rowBreaks count="3" manualBreakCount="3">
    <brk id="80" max="4" man="1"/>
    <brk id="164" max="4" man="1"/>
    <brk id="237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PRÉDIOS ESTRATÉGICOS 2015 PREÇO RJ-Licitação-REV1-29jan</dc:title>
  <dc:subject/>
  <dc:creator>CBR</dc:creator>
  <cp:keywords/>
  <dc:description/>
  <cp:lastModifiedBy>CBRRJ03</cp:lastModifiedBy>
  <cp:lastPrinted>2018-05-25T20:15:49Z</cp:lastPrinted>
  <dcterms:created xsi:type="dcterms:W3CDTF">2016-03-15T16:09:46Z</dcterms:created>
  <dcterms:modified xsi:type="dcterms:W3CDTF">2018-05-25T20:18:08Z</dcterms:modified>
  <cp:category/>
  <cp:version/>
  <cp:contentType/>
  <cp:contentStatus/>
</cp:coreProperties>
</file>