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 Drive\Projetos e Trabalho\FUB (pasta servidor)\20200409 LGC - NOVO\PARA SEI\"/>
    </mc:Choice>
  </mc:AlternateContent>
  <xr:revisionPtr revIDLastSave="0" documentId="13_ncr:1_{23BB9F60-CCF6-448F-AE1A-F31E0AC32CBA}" xr6:coauthVersionLast="45" xr6:coauthVersionMax="45" xr10:uidLastSave="{00000000-0000-0000-0000-000000000000}"/>
  <bookViews>
    <workbookView xWindow="-120" yWindow="-120" windowWidth="20730" windowHeight="11160" tabRatio="763" xr2:uid="{9655B595-76EE-47FC-A4D6-022E4FD5399B}"/>
  </bookViews>
  <sheets>
    <sheet name="Lista de Serviços" sheetId="9" r:id="rId1"/>
    <sheet name="Ed. Principal" sheetId="1" state="hidden" r:id="rId2"/>
    <sheet name="Quantitativos" sheetId="3" r:id="rId3"/>
    <sheet name="Cálculo Rev. Parede" sheetId="4" r:id="rId4"/>
    <sheet name="Paredes" sheetId="5" r:id="rId5"/>
    <sheet name="Det. Rev. Parede" sheetId="6" r:id="rId6"/>
    <sheet name="Det. Rev. Pisos" sheetId="8" r:id="rId7"/>
    <sheet name="Bancadas Granito" sheetId="7" r:id="rId8"/>
  </sheets>
  <definedNames>
    <definedName name="_xlnm.Print_Area" localSheetId="7">'Bancadas Granito'!$A$1:$N$19</definedName>
    <definedName name="_xlnm.Print_Area" localSheetId="2">Quantitativos!$A$1:$K$840</definedName>
    <definedName name="CFF">#REF!</definedName>
    <definedName name="Excel_BuiltIn_Print_Area_9" localSheetId="2">#REF!</definedName>
    <definedName name="Excel_BuiltIn_Print_Area_9">#REF!</definedName>
    <definedName name="Excel_BuiltIn_Print_Titles_1" localSheetId="2">#REF!</definedName>
    <definedName name="Excel_BuiltIn_Print_Titles_1">#REF!</definedName>
    <definedName name="NEWPRINT10">#REF!</definedName>
    <definedName name="NEWPRINT2">#REF!</definedName>
    <definedName name="NEWPRINT3">#REF!</definedName>
    <definedName name="NEWPRINT4">#REF!</definedName>
    <definedName name="NewPrintArea" localSheetId="2">#REF!</definedName>
    <definedName name="NewPrintArea">#REF!</definedName>
    <definedName name="NewPrintArea2" localSheetId="2">#REF!</definedName>
    <definedName name="NewPrintArea2">#REF!</definedName>
    <definedName name="NewPrintArea3" localSheetId="2">#REF!</definedName>
    <definedName name="NewPrintArea3">#REF!</definedName>
    <definedName name="NewPrintArea9" localSheetId="2">#REF!</definedName>
    <definedName name="NewPrintArea9">#REF!</definedName>
    <definedName name="PRINT10">#REF!</definedName>
    <definedName name="TITLES2">#REF!</definedName>
    <definedName name="_xlnm.Print_Titles" localSheetId="0">'Lista de Serviços'!$1:$6</definedName>
    <definedName name="_xlnm.Print_Titles" localSheetId="2">Quantitativos!$1:$5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7" i="9" l="1"/>
  <c r="F829" i="3" l="1"/>
  <c r="F828" i="3"/>
  <c r="F830" i="3" s="1"/>
  <c r="D349" i="9" s="1"/>
  <c r="B826" i="3"/>
  <c r="A826" i="3"/>
  <c r="D348" i="9" l="1"/>
  <c r="G837" i="3" l="1"/>
  <c r="J837" i="3" s="1"/>
  <c r="J838" i="3" s="1"/>
  <c r="D355" i="9" s="1"/>
  <c r="D354" i="9" s="1"/>
  <c r="B833" i="3"/>
  <c r="A833" i="3"/>
  <c r="B69" i="3" l="1"/>
  <c r="A69" i="3"/>
  <c r="D76" i="9"/>
  <c r="C43" i="1"/>
  <c r="B55" i="3"/>
  <c r="A55" i="3"/>
  <c r="D63" i="9"/>
  <c r="D58" i="9"/>
  <c r="B48" i="3"/>
  <c r="A48" i="3"/>
  <c r="B41" i="3"/>
  <c r="A41" i="3"/>
  <c r="D54" i="9"/>
  <c r="B32" i="3"/>
  <c r="A32" i="3"/>
  <c r="D53" i="9"/>
  <c r="B25" i="3"/>
  <c r="A25" i="3"/>
  <c r="D51" i="9"/>
  <c r="C17" i="1"/>
  <c r="D296" i="9" l="1"/>
  <c r="D295" i="9"/>
  <c r="B778" i="3"/>
  <c r="D294" i="9"/>
  <c r="B767" i="3"/>
  <c r="A767" i="3"/>
  <c r="A760" i="3"/>
  <c r="B760" i="3"/>
  <c r="D293" i="9"/>
  <c r="D297" i="9" s="1"/>
  <c r="D292" i="9"/>
  <c r="D298" i="9" s="1"/>
  <c r="B751" i="3"/>
  <c r="A787" i="3"/>
  <c r="A778" i="3"/>
  <c r="A751" i="3"/>
  <c r="A744" i="3"/>
  <c r="D288" i="9"/>
  <c r="B744" i="3"/>
  <c r="D274" i="9"/>
  <c r="B696" i="3"/>
  <c r="B688" i="3"/>
  <c r="D273" i="9"/>
  <c r="A696" i="3"/>
  <c r="A688" i="3"/>
  <c r="A676" i="3"/>
  <c r="C199" i="1"/>
  <c r="A734" i="3"/>
  <c r="A724" i="3"/>
  <c r="A714" i="3"/>
  <c r="A704" i="3"/>
  <c r="D272" i="9"/>
  <c r="B676" i="3"/>
  <c r="D269" i="9"/>
  <c r="B669" i="3"/>
  <c r="A669" i="3"/>
  <c r="D268" i="9"/>
  <c r="B660" i="3"/>
  <c r="A660" i="3"/>
  <c r="A653" i="3"/>
  <c r="B644" i="3"/>
  <c r="A644" i="3"/>
  <c r="B636" i="3"/>
  <c r="A636" i="3"/>
  <c r="B627" i="3"/>
  <c r="A627" i="3"/>
  <c r="D258" i="9"/>
  <c r="D256" i="9"/>
  <c r="B610" i="3"/>
  <c r="A610" i="3"/>
  <c r="D252" i="9"/>
  <c r="B602" i="3"/>
  <c r="A602" i="3"/>
  <c r="D251" i="9"/>
  <c r="B594" i="3"/>
  <c r="A594" i="3"/>
  <c r="D245" i="9"/>
  <c r="B586" i="3"/>
  <c r="A586" i="3"/>
  <c r="J590" i="3"/>
  <c r="J592" i="3" s="1"/>
  <c r="D247" i="9" s="1"/>
  <c r="D248" i="9" s="1"/>
  <c r="B574" i="3"/>
  <c r="A574" i="3"/>
  <c r="D241" i="9"/>
  <c r="D242" i="9" s="1"/>
  <c r="D232" i="9"/>
  <c r="B555" i="3"/>
  <c r="A555" i="3"/>
  <c r="B545" i="3"/>
  <c r="A545" i="3"/>
  <c r="D230" i="9"/>
  <c r="B519" i="3"/>
  <c r="A519" i="3"/>
  <c r="D221" i="9"/>
  <c r="B511" i="3"/>
  <c r="A511" i="3"/>
  <c r="D219" i="9"/>
  <c r="D226" i="9" s="1"/>
  <c r="C158" i="1"/>
  <c r="B497" i="3"/>
  <c r="A497" i="3"/>
  <c r="D216" i="9"/>
  <c r="A490" i="3"/>
  <c r="B481" i="3"/>
  <c r="A481" i="3"/>
  <c r="D195" i="9"/>
  <c r="B472" i="3"/>
  <c r="A472" i="3"/>
  <c r="D193" i="9"/>
  <c r="B462" i="3"/>
  <c r="A462" i="3"/>
  <c r="D176" i="9"/>
  <c r="D170" i="9"/>
  <c r="B443" i="3"/>
  <c r="A443" i="3"/>
  <c r="B433" i="3"/>
  <c r="A433" i="3"/>
  <c r="D138" i="9"/>
  <c r="D136" i="9"/>
  <c r="B421" i="3"/>
  <c r="A421" i="3"/>
  <c r="B413" i="3"/>
  <c r="A413" i="3"/>
  <c r="D135" i="9"/>
  <c r="B403" i="3"/>
  <c r="A403" i="3"/>
  <c r="D131" i="9"/>
  <c r="B394" i="3"/>
  <c r="A394" i="3"/>
  <c r="D130" i="9"/>
  <c r="B380" i="3"/>
  <c r="A380" i="3"/>
  <c r="D128" i="9"/>
  <c r="D126" i="9"/>
  <c r="B371" i="3"/>
  <c r="A371" i="3"/>
  <c r="D124" i="9"/>
  <c r="B359" i="3"/>
  <c r="A359" i="3"/>
  <c r="B347" i="3"/>
  <c r="A347" i="3"/>
  <c r="D123" i="9"/>
  <c r="B316" i="3"/>
  <c r="A316" i="3"/>
  <c r="D121" i="9"/>
  <c r="D117" i="9"/>
  <c r="A284" i="3"/>
  <c r="A251" i="3"/>
  <c r="D115" i="9"/>
  <c r="D112" i="9"/>
  <c r="A227" i="3"/>
  <c r="A184" i="3"/>
  <c r="D111" i="9"/>
  <c r="D110" i="9"/>
  <c r="D236" i="9" s="1"/>
  <c r="D109" i="9"/>
  <c r="A160" i="3"/>
  <c r="A117" i="3"/>
  <c r="B108" i="3"/>
  <c r="A108" i="3"/>
  <c r="D90" i="9"/>
  <c r="D89" i="9"/>
  <c r="B99" i="3"/>
  <c r="A99" i="3"/>
  <c r="D87" i="9"/>
  <c r="D85" i="9"/>
  <c r="D82" i="9"/>
  <c r="B92" i="3"/>
  <c r="A92" i="3"/>
  <c r="B84" i="3"/>
  <c r="A84" i="3"/>
  <c r="B77" i="3"/>
  <c r="A77" i="3"/>
  <c r="B13" i="3"/>
  <c r="A13" i="3"/>
  <c r="D270" i="9" l="1"/>
  <c r="D132" i="9"/>
  <c r="D234" i="9"/>
  <c r="D224" i="9"/>
  <c r="C311" i="1"/>
  <c r="C312" i="1"/>
  <c r="C313" i="1"/>
  <c r="C314" i="1"/>
  <c r="C315" i="1"/>
  <c r="C316" i="1"/>
  <c r="C317" i="1"/>
  <c r="C318" i="1"/>
  <c r="C319" i="1"/>
  <c r="C310" i="1"/>
  <c r="K22" i="4" l="1"/>
  <c r="W22" i="4" s="1"/>
  <c r="R22" i="4"/>
  <c r="T22" i="4"/>
  <c r="U22" i="4"/>
  <c r="V22" i="4"/>
  <c r="X22" i="4"/>
  <c r="Z22" i="4"/>
  <c r="AA22" i="4"/>
  <c r="AB22" i="4"/>
  <c r="E3" i="5"/>
  <c r="Q22" i="4" l="1"/>
  <c r="C239" i="1"/>
  <c r="C238" i="1"/>
  <c r="C136" i="1"/>
  <c r="C193" i="1"/>
  <c r="C240" i="1" l="1"/>
  <c r="C188" i="1"/>
  <c r="C192" i="1"/>
  <c r="C268" i="1" l="1"/>
  <c r="C267" i="1"/>
  <c r="C150" i="1" l="1"/>
  <c r="D31" i="8"/>
  <c r="D34" i="8" s="1"/>
  <c r="D28" i="8"/>
  <c r="D29" i="8" s="1"/>
  <c r="D33" i="8" l="1"/>
  <c r="C149" i="1"/>
  <c r="C184" i="1"/>
  <c r="C185" i="1"/>
  <c r="C40" i="1"/>
  <c r="G12" i="8" l="1"/>
  <c r="G2" i="8"/>
  <c r="G3" i="8"/>
  <c r="G4" i="8"/>
  <c r="C148" i="1" s="1"/>
  <c r="G5" i="8"/>
  <c r="G11" i="8" s="1"/>
  <c r="G6" i="8"/>
  <c r="G7" i="8"/>
  <c r="G8" i="8"/>
  <c r="G9" i="8"/>
  <c r="G10" i="8"/>
  <c r="G1" i="8"/>
  <c r="C54" i="1" l="1"/>
  <c r="C24" i="1" l="1"/>
  <c r="C20" i="1"/>
  <c r="C23" i="1" l="1"/>
  <c r="C19" i="1"/>
  <c r="C18" i="1" l="1"/>
  <c r="C28" i="1" l="1"/>
  <c r="C171" i="1" l="1"/>
  <c r="C198" i="1"/>
  <c r="C201" i="1" l="1"/>
  <c r="C202" i="1"/>
  <c r="C200" i="1"/>
  <c r="C197" i="1" l="1"/>
  <c r="C196" i="1"/>
  <c r="C195" i="1" l="1"/>
  <c r="C194" i="1"/>
  <c r="C299" i="1"/>
  <c r="C298" i="1"/>
  <c r="C297" i="1"/>
  <c r="C291" i="1"/>
  <c r="C76" i="1" l="1"/>
  <c r="C75" i="1"/>
  <c r="C70" i="1"/>
  <c r="C69" i="1"/>
  <c r="C68" i="1"/>
  <c r="C67" i="1"/>
  <c r="C66" i="1"/>
  <c r="C65" i="1"/>
  <c r="C61" i="1" l="1"/>
  <c r="C57" i="1"/>
  <c r="C278" i="1" l="1"/>
  <c r="C279" i="1" s="1"/>
  <c r="C83" i="1" l="1"/>
  <c r="C81" i="1" l="1"/>
  <c r="C82" i="1"/>
  <c r="C80" i="1"/>
  <c r="C174" i="1" s="1"/>
  <c r="C7" i="1" l="1"/>
  <c r="C8" i="1" s="1"/>
  <c r="D19" i="9"/>
  <c r="D18" i="9" s="1"/>
  <c r="C229" i="1"/>
  <c r="C228" i="1"/>
  <c r="C221" i="1" l="1"/>
  <c r="C218" i="1"/>
  <c r="C235" i="1" s="1"/>
  <c r="C217" i="1"/>
  <c r="C216" i="1"/>
  <c r="C215" i="1"/>
  <c r="C220" i="1" s="1"/>
  <c r="C214" i="1"/>
  <c r="C219" i="1" l="1"/>
  <c r="C222" i="1"/>
  <c r="C230" i="1"/>
  <c r="C234" i="1"/>
  <c r="C227" i="1"/>
  <c r="C223" i="1"/>
  <c r="C224" i="1"/>
  <c r="M3" i="7"/>
  <c r="M4" i="7"/>
  <c r="M5" i="7"/>
  <c r="M6" i="7"/>
  <c r="M7" i="7"/>
  <c r="M8" i="7"/>
  <c r="M9" i="7"/>
  <c r="M10" i="7"/>
  <c r="M2" i="7"/>
  <c r="L2" i="7"/>
  <c r="L3" i="7"/>
  <c r="L4" i="7"/>
  <c r="L5" i="7"/>
  <c r="L6" i="7"/>
  <c r="L7" i="7"/>
  <c r="L8" i="7"/>
  <c r="L9" i="7"/>
  <c r="L10" i="7"/>
  <c r="N3" i="7"/>
  <c r="N4" i="7"/>
  <c r="N5" i="7"/>
  <c r="N6" i="7"/>
  <c r="N7" i="7"/>
  <c r="N8" i="7"/>
  <c r="N9" i="7"/>
  <c r="N10" i="7"/>
  <c r="N2" i="7"/>
  <c r="H3" i="7"/>
  <c r="H4" i="7"/>
  <c r="H5" i="7"/>
  <c r="H6" i="7"/>
  <c r="H7" i="7"/>
  <c r="H8" i="7"/>
  <c r="H9" i="7"/>
  <c r="H10" i="7"/>
  <c r="H2" i="7"/>
  <c r="K3" i="7"/>
  <c r="K4" i="7"/>
  <c r="K5" i="7"/>
  <c r="K6" i="7"/>
  <c r="K7" i="7"/>
  <c r="K8" i="7"/>
  <c r="K9" i="7"/>
  <c r="K10" i="7"/>
  <c r="K2" i="7"/>
  <c r="I3" i="7"/>
  <c r="I4" i="7"/>
  <c r="I5" i="7"/>
  <c r="I6" i="7"/>
  <c r="I7" i="7"/>
  <c r="I8" i="7"/>
  <c r="I9" i="7"/>
  <c r="I10" i="7"/>
  <c r="I2" i="7"/>
  <c r="J3" i="7"/>
  <c r="J4" i="7"/>
  <c r="J5" i="7"/>
  <c r="J6" i="7"/>
  <c r="J7" i="7"/>
  <c r="J8" i="7"/>
  <c r="J9" i="7"/>
  <c r="J10" i="7"/>
  <c r="J2" i="7"/>
  <c r="G3" i="7"/>
  <c r="G4" i="7"/>
  <c r="G5" i="7"/>
  <c r="G6" i="7"/>
  <c r="G7" i="7"/>
  <c r="G8" i="7"/>
  <c r="G9" i="7"/>
  <c r="G10" i="7"/>
  <c r="G2" i="7"/>
  <c r="C187" i="1" l="1"/>
  <c r="C172" i="1" s="1"/>
  <c r="F157" i="1" l="1"/>
  <c r="C189" i="1"/>
  <c r="F159" i="1"/>
  <c r="F156" i="1"/>
  <c r="F155" i="1"/>
  <c r="F154" i="1"/>
  <c r="F153" i="1"/>
  <c r="C180" i="1" l="1"/>
  <c r="C181" i="1" s="1"/>
  <c r="C162" i="1"/>
  <c r="C168" i="1" s="1"/>
  <c r="C170" i="1" s="1"/>
  <c r="C173" i="1" s="1"/>
  <c r="C163" i="1"/>
  <c r="X4" i="4" l="1"/>
  <c r="X5" i="4"/>
  <c r="X6" i="4"/>
  <c r="X7" i="4"/>
  <c r="X8" i="4"/>
  <c r="X9" i="4"/>
  <c r="X10" i="4"/>
  <c r="X14" i="4"/>
  <c r="X15" i="4"/>
  <c r="X16" i="4"/>
  <c r="X17" i="4"/>
  <c r="X18" i="4"/>
  <c r="X19" i="4"/>
  <c r="X20" i="4"/>
  <c r="X21" i="4"/>
  <c r="X23" i="4"/>
  <c r="X24" i="4"/>
  <c r="X26" i="4"/>
  <c r="X29" i="4"/>
  <c r="X30" i="4"/>
  <c r="X31" i="4"/>
  <c r="X35" i="4"/>
  <c r="X36" i="4"/>
  <c r="X37" i="4"/>
  <c r="X38" i="4"/>
  <c r="X39" i="4"/>
  <c r="C140" i="1"/>
  <c r="C96" i="1" l="1"/>
  <c r="C95" i="1"/>
  <c r="O34" i="5"/>
  <c r="F4" i="5"/>
  <c r="O4" i="5"/>
  <c r="C135" i="1" l="1"/>
  <c r="P38" i="5"/>
  <c r="E38" i="5"/>
  <c r="N38" i="5"/>
  <c r="M37" i="4"/>
  <c r="M17" i="5"/>
  <c r="N17" i="5" s="1"/>
  <c r="M16" i="5"/>
  <c r="N16" i="5" s="1"/>
  <c r="M15" i="5"/>
  <c r="N15" i="5" s="1"/>
  <c r="M14" i="5"/>
  <c r="N14" i="5" s="1"/>
  <c r="E18" i="5"/>
  <c r="E9" i="5"/>
  <c r="F9" i="5"/>
  <c r="E14" i="5"/>
  <c r="F14" i="5"/>
  <c r="E15" i="5"/>
  <c r="F15" i="5"/>
  <c r="E16" i="5"/>
  <c r="F16" i="5"/>
  <c r="E17" i="5"/>
  <c r="F17" i="5"/>
  <c r="F18" i="5"/>
  <c r="D13" i="5"/>
  <c r="E13" i="5" s="1"/>
  <c r="M9" i="5"/>
  <c r="P4" i="5"/>
  <c r="N4" i="5"/>
  <c r="M36" i="4"/>
  <c r="P34" i="5"/>
  <c r="N34" i="5"/>
  <c r="P30" i="5"/>
  <c r="P31" i="5"/>
  <c r="O30" i="5"/>
  <c r="O31" i="5"/>
  <c r="N30" i="5"/>
  <c r="N31" i="5"/>
  <c r="M18" i="5"/>
  <c r="O18" i="5" s="1"/>
  <c r="M39" i="4"/>
  <c r="M38" i="4"/>
  <c r="M29" i="5"/>
  <c r="O29" i="5" s="1"/>
  <c r="M28" i="5"/>
  <c r="P28" i="5" s="1"/>
  <c r="M27" i="5"/>
  <c r="P27" i="5" s="1"/>
  <c r="M26" i="5"/>
  <c r="O26" i="5" s="1"/>
  <c r="M25" i="5"/>
  <c r="O25" i="5" s="1"/>
  <c r="M24" i="5"/>
  <c r="P24" i="5" s="1"/>
  <c r="M23" i="5"/>
  <c r="P23" i="5" s="1"/>
  <c r="M22" i="5"/>
  <c r="O22" i="5" s="1"/>
  <c r="M21" i="5"/>
  <c r="O21" i="5" s="1"/>
  <c r="M20" i="5"/>
  <c r="O20" i="5" s="1"/>
  <c r="M19" i="5"/>
  <c r="P19" i="5" s="1"/>
  <c r="M12" i="5"/>
  <c r="O12" i="5" s="1"/>
  <c r="M11" i="5"/>
  <c r="O11" i="5" s="1"/>
  <c r="M10" i="5"/>
  <c r="P10" i="5" s="1"/>
  <c r="M8" i="5"/>
  <c r="P8" i="5" s="1"/>
  <c r="K35" i="4"/>
  <c r="K34" i="4"/>
  <c r="F33" i="4"/>
  <c r="K33" i="4"/>
  <c r="L32" i="4"/>
  <c r="K32" i="4"/>
  <c r="N31" i="4"/>
  <c r="N30" i="4"/>
  <c r="K29" i="4"/>
  <c r="K28" i="4"/>
  <c r="K27" i="4"/>
  <c r="K26" i="4"/>
  <c r="K25" i="4"/>
  <c r="K24" i="4"/>
  <c r="K23" i="4"/>
  <c r="G34" i="5"/>
  <c r="E34" i="5"/>
  <c r="N26" i="5" l="1"/>
  <c r="P26" i="5"/>
  <c r="N8" i="5"/>
  <c r="N22" i="5"/>
  <c r="P22" i="5"/>
  <c r="F13" i="5"/>
  <c r="O8" i="5"/>
  <c r="C92" i="1"/>
  <c r="E36" i="6"/>
  <c r="C103" i="1"/>
  <c r="N18" i="5"/>
  <c r="O28" i="5"/>
  <c r="P18" i="5"/>
  <c r="N29" i="5"/>
  <c r="N25" i="5"/>
  <c r="N21" i="5"/>
  <c r="N12" i="5"/>
  <c r="O27" i="5"/>
  <c r="O23" i="5"/>
  <c r="O19" i="5"/>
  <c r="O10" i="5"/>
  <c r="P29" i="5"/>
  <c r="P25" i="5"/>
  <c r="P21" i="5"/>
  <c r="P12" i="5"/>
  <c r="O24" i="5"/>
  <c r="N28" i="5"/>
  <c r="N24" i="5"/>
  <c r="N20" i="5"/>
  <c r="N11" i="5"/>
  <c r="P20" i="5"/>
  <c r="P11" i="5"/>
  <c r="N27" i="5"/>
  <c r="N23" i="5"/>
  <c r="N19" i="5"/>
  <c r="N10" i="5"/>
  <c r="D29" i="5"/>
  <c r="D28" i="5"/>
  <c r="D27" i="5"/>
  <c r="D26" i="5"/>
  <c r="D25" i="5"/>
  <c r="D23" i="5"/>
  <c r="D22" i="5"/>
  <c r="D21" i="5"/>
  <c r="D24" i="5"/>
  <c r="G3" i="5"/>
  <c r="G4" i="5" s="1"/>
  <c r="D20" i="5"/>
  <c r="G20" i="5" s="1"/>
  <c r="D19" i="5"/>
  <c r="D12" i="5"/>
  <c r="D11" i="5"/>
  <c r="D10" i="5"/>
  <c r="D8" i="5"/>
  <c r="F8" i="5" s="1"/>
  <c r="E4" i="5"/>
  <c r="M20" i="4"/>
  <c r="M21" i="4"/>
  <c r="S21" i="4" s="1"/>
  <c r="M19" i="4"/>
  <c r="Y19" i="4" s="1"/>
  <c r="M18" i="4"/>
  <c r="K17" i="4"/>
  <c r="K16" i="4"/>
  <c r="W16" i="4" s="1"/>
  <c r="K15" i="4"/>
  <c r="W15" i="4" s="1"/>
  <c r="K14" i="4"/>
  <c r="K13" i="4"/>
  <c r="W13" i="4" s="1"/>
  <c r="L12" i="4"/>
  <c r="R12" i="4" s="1"/>
  <c r="K12" i="4"/>
  <c r="W12" i="4" s="1"/>
  <c r="K11" i="4"/>
  <c r="L11" i="4"/>
  <c r="R11" i="4" s="1"/>
  <c r="S3" i="4"/>
  <c r="AB11" i="4"/>
  <c r="AA11" i="4"/>
  <c r="Z11" i="4"/>
  <c r="Y11" i="4"/>
  <c r="W11" i="4"/>
  <c r="V11" i="4"/>
  <c r="U11" i="4"/>
  <c r="T11" i="4"/>
  <c r="S11" i="4"/>
  <c r="Q11" i="4"/>
  <c r="AB10" i="4"/>
  <c r="AA10" i="4"/>
  <c r="Z10" i="4"/>
  <c r="Y10" i="4"/>
  <c r="V10" i="4"/>
  <c r="U10" i="4"/>
  <c r="T10" i="4"/>
  <c r="S10" i="4"/>
  <c r="R10" i="4"/>
  <c r="AB9" i="4"/>
  <c r="AA9" i="4"/>
  <c r="Y9" i="4"/>
  <c r="W9" i="4"/>
  <c r="V9" i="4"/>
  <c r="U9" i="4"/>
  <c r="S9" i="4"/>
  <c r="R9" i="4"/>
  <c r="Q9" i="4"/>
  <c r="K10" i="4"/>
  <c r="W10" i="4" s="1"/>
  <c r="N9" i="4"/>
  <c r="N8" i="4"/>
  <c r="T8" i="4" s="1"/>
  <c r="O7" i="4"/>
  <c r="U7" i="4" s="1"/>
  <c r="K7" i="4"/>
  <c r="W7" i="4" s="1"/>
  <c r="K6" i="4"/>
  <c r="Q6" i="4" s="1"/>
  <c r="K5" i="4"/>
  <c r="W5" i="4" s="1"/>
  <c r="K4" i="4"/>
  <c r="W4" i="4" s="1"/>
  <c r="K3" i="4"/>
  <c r="W3" i="4" s="1"/>
  <c r="Y4" i="4"/>
  <c r="Z4" i="4"/>
  <c r="AA4" i="4"/>
  <c r="AB4" i="4"/>
  <c r="Y5" i="4"/>
  <c r="Z5" i="4"/>
  <c r="AA5" i="4"/>
  <c r="AB5" i="4"/>
  <c r="W6" i="4"/>
  <c r="Y6" i="4"/>
  <c r="Z6" i="4"/>
  <c r="AA6" i="4"/>
  <c r="AB6" i="4"/>
  <c r="Y7" i="4"/>
  <c r="Z7" i="4"/>
  <c r="AB7" i="4"/>
  <c r="W8" i="4"/>
  <c r="Y8" i="4"/>
  <c r="AA8" i="4"/>
  <c r="AB8" i="4"/>
  <c r="Y12" i="4"/>
  <c r="Z12" i="4"/>
  <c r="AA12" i="4"/>
  <c r="AB12" i="4"/>
  <c r="Y13" i="4"/>
  <c r="Z13" i="4"/>
  <c r="AA13" i="4"/>
  <c r="AB13" i="4"/>
  <c r="W14" i="4"/>
  <c r="Y14" i="4"/>
  <c r="Z14" i="4"/>
  <c r="AA14" i="4"/>
  <c r="AB14" i="4"/>
  <c r="Y15" i="4"/>
  <c r="Z15" i="4"/>
  <c r="AA15" i="4"/>
  <c r="AB15" i="4"/>
  <c r="Y16" i="4"/>
  <c r="Z16" i="4"/>
  <c r="AA16" i="4"/>
  <c r="AB16" i="4"/>
  <c r="W17" i="4"/>
  <c r="Y17" i="4"/>
  <c r="Z17" i="4"/>
  <c r="AA17" i="4"/>
  <c r="AB17" i="4"/>
  <c r="W18" i="4"/>
  <c r="Y18" i="4"/>
  <c r="Z18" i="4"/>
  <c r="AA18" i="4"/>
  <c r="AB18" i="4"/>
  <c r="W19" i="4"/>
  <c r="Z19" i="4"/>
  <c r="AA19" i="4"/>
  <c r="AB19" i="4"/>
  <c r="W20" i="4"/>
  <c r="Y20" i="4"/>
  <c r="Z20" i="4"/>
  <c r="AA20" i="4"/>
  <c r="AB20" i="4"/>
  <c r="W21" i="4"/>
  <c r="Z21" i="4"/>
  <c r="AA21" i="4"/>
  <c r="AB21" i="4"/>
  <c r="W23" i="4"/>
  <c r="Y23" i="4"/>
  <c r="Z23" i="4"/>
  <c r="AA23" i="4"/>
  <c r="AB23" i="4"/>
  <c r="W24" i="4"/>
  <c r="Y24" i="4"/>
  <c r="Z24" i="4"/>
  <c r="AA24" i="4"/>
  <c r="AB24" i="4"/>
  <c r="W25" i="4"/>
  <c r="Y25" i="4"/>
  <c r="Z25" i="4"/>
  <c r="AA25" i="4"/>
  <c r="AB25" i="4"/>
  <c r="W26" i="4"/>
  <c r="Y26" i="4"/>
  <c r="Z26" i="4"/>
  <c r="AA26" i="4"/>
  <c r="AB26" i="4"/>
  <c r="W27" i="4"/>
  <c r="Y27" i="4"/>
  <c r="Z27" i="4"/>
  <c r="AA27" i="4"/>
  <c r="AB27" i="4"/>
  <c r="W28" i="4"/>
  <c r="Y28" i="4"/>
  <c r="Z28" i="4"/>
  <c r="AA28" i="4"/>
  <c r="AB28" i="4"/>
  <c r="W29" i="4"/>
  <c r="Y29" i="4"/>
  <c r="Z29" i="4"/>
  <c r="AA29" i="4"/>
  <c r="AB29" i="4"/>
  <c r="W30" i="4"/>
  <c r="Y30" i="4"/>
  <c r="Z30" i="4"/>
  <c r="AA30" i="4"/>
  <c r="AB30" i="4"/>
  <c r="W31" i="4"/>
  <c r="Y31" i="4"/>
  <c r="Z31" i="4"/>
  <c r="AA31" i="4"/>
  <c r="AB31" i="4"/>
  <c r="W32" i="4"/>
  <c r="Y32" i="4"/>
  <c r="Z32" i="4"/>
  <c r="AA32" i="4"/>
  <c r="AB32" i="4"/>
  <c r="W33" i="4"/>
  <c r="Y33" i="4"/>
  <c r="Z33" i="4"/>
  <c r="AA33" i="4"/>
  <c r="AB33" i="4"/>
  <c r="W34" i="4"/>
  <c r="Y34" i="4"/>
  <c r="Z34" i="4"/>
  <c r="AA34" i="4"/>
  <c r="AB34" i="4"/>
  <c r="W35" i="4"/>
  <c r="Y35" i="4"/>
  <c r="Z35" i="4"/>
  <c r="AA35" i="4"/>
  <c r="AB35" i="4"/>
  <c r="W36" i="4"/>
  <c r="Y36" i="4"/>
  <c r="Z36" i="4"/>
  <c r="AA36" i="4"/>
  <c r="AB36" i="4"/>
  <c r="W37" i="4"/>
  <c r="Y37" i="4"/>
  <c r="Z37" i="4"/>
  <c r="AA37" i="4"/>
  <c r="AB37" i="4"/>
  <c r="W38" i="4"/>
  <c r="Y38" i="4"/>
  <c r="Z38" i="4"/>
  <c r="AA38" i="4"/>
  <c r="AB38" i="4"/>
  <c r="W39" i="4"/>
  <c r="Y39" i="4"/>
  <c r="Z39" i="4"/>
  <c r="AA39" i="4"/>
  <c r="AB39" i="4"/>
  <c r="Y3" i="4"/>
  <c r="Z3" i="4"/>
  <c r="AA3" i="4"/>
  <c r="AB3" i="4"/>
  <c r="R4" i="4"/>
  <c r="S4" i="4"/>
  <c r="T4" i="4"/>
  <c r="U4" i="4"/>
  <c r="V4" i="4"/>
  <c r="Q5" i="4"/>
  <c r="R5" i="4"/>
  <c r="S5" i="4"/>
  <c r="T5" i="4"/>
  <c r="U5" i="4"/>
  <c r="V5" i="4"/>
  <c r="R6" i="4"/>
  <c r="S6" i="4"/>
  <c r="T6" i="4"/>
  <c r="U6" i="4"/>
  <c r="V6" i="4"/>
  <c r="R7" i="4"/>
  <c r="S7" i="4"/>
  <c r="T7" i="4"/>
  <c r="V7" i="4"/>
  <c r="Q8" i="4"/>
  <c r="R8" i="4"/>
  <c r="S8" i="4"/>
  <c r="U8" i="4"/>
  <c r="V8" i="4"/>
  <c r="S12" i="4"/>
  <c r="T12" i="4"/>
  <c r="U12" i="4"/>
  <c r="V12" i="4"/>
  <c r="Q13" i="4"/>
  <c r="R13" i="4"/>
  <c r="S13" i="4"/>
  <c r="T13" i="4"/>
  <c r="U13" i="4"/>
  <c r="V13" i="4"/>
  <c r="Q14" i="4"/>
  <c r="R14" i="4"/>
  <c r="S14" i="4"/>
  <c r="T14" i="4"/>
  <c r="U14" i="4"/>
  <c r="V14" i="4"/>
  <c r="R15" i="4"/>
  <c r="S15" i="4"/>
  <c r="T15" i="4"/>
  <c r="U15" i="4"/>
  <c r="V15" i="4"/>
  <c r="R16" i="4"/>
  <c r="S16" i="4"/>
  <c r="T16" i="4"/>
  <c r="U16" i="4"/>
  <c r="V16" i="4"/>
  <c r="Q17" i="4"/>
  <c r="R17" i="4"/>
  <c r="S17" i="4"/>
  <c r="T17" i="4"/>
  <c r="U17" i="4"/>
  <c r="V17" i="4"/>
  <c r="Q18" i="4"/>
  <c r="R18" i="4"/>
  <c r="S18" i="4"/>
  <c r="T18" i="4"/>
  <c r="U18" i="4"/>
  <c r="V18" i="4"/>
  <c r="Q19" i="4"/>
  <c r="R19" i="4"/>
  <c r="T19" i="4"/>
  <c r="U19" i="4"/>
  <c r="V19" i="4"/>
  <c r="Q20" i="4"/>
  <c r="R20" i="4"/>
  <c r="S20" i="4"/>
  <c r="T20" i="4"/>
  <c r="U20" i="4"/>
  <c r="V20" i="4"/>
  <c r="Q21" i="4"/>
  <c r="R21" i="4"/>
  <c r="T21" i="4"/>
  <c r="U21" i="4"/>
  <c r="V21" i="4"/>
  <c r="Q23" i="4"/>
  <c r="R23" i="4"/>
  <c r="S23" i="4"/>
  <c r="T23" i="4"/>
  <c r="U23" i="4"/>
  <c r="V23" i="4"/>
  <c r="Q24" i="4"/>
  <c r="R24" i="4"/>
  <c r="S24" i="4"/>
  <c r="T24" i="4"/>
  <c r="U24" i="4"/>
  <c r="V24" i="4"/>
  <c r="Q25" i="4"/>
  <c r="R25" i="4"/>
  <c r="S25" i="4"/>
  <c r="T25" i="4"/>
  <c r="U25" i="4"/>
  <c r="V25" i="4"/>
  <c r="Q26" i="4"/>
  <c r="R26" i="4"/>
  <c r="S26" i="4"/>
  <c r="T26" i="4"/>
  <c r="U26" i="4"/>
  <c r="V26" i="4"/>
  <c r="Q27" i="4"/>
  <c r="R27" i="4"/>
  <c r="S27" i="4"/>
  <c r="T27" i="4"/>
  <c r="U27" i="4"/>
  <c r="V27" i="4"/>
  <c r="Q28" i="4"/>
  <c r="R28" i="4"/>
  <c r="S28" i="4"/>
  <c r="T28" i="4"/>
  <c r="U28" i="4"/>
  <c r="V28" i="4"/>
  <c r="Q29" i="4"/>
  <c r="R29" i="4"/>
  <c r="S29" i="4"/>
  <c r="T29" i="4"/>
  <c r="U29" i="4"/>
  <c r="V29" i="4"/>
  <c r="Q30" i="4"/>
  <c r="R30" i="4"/>
  <c r="S30" i="4"/>
  <c r="T30" i="4"/>
  <c r="U30" i="4"/>
  <c r="V30" i="4"/>
  <c r="Q31" i="4"/>
  <c r="R31" i="4"/>
  <c r="S31" i="4"/>
  <c r="T31" i="4"/>
  <c r="U31" i="4"/>
  <c r="V31" i="4"/>
  <c r="Q32" i="4"/>
  <c r="R32" i="4"/>
  <c r="S32" i="4"/>
  <c r="T32" i="4"/>
  <c r="U32" i="4"/>
  <c r="V32" i="4"/>
  <c r="Q33" i="4"/>
  <c r="R33" i="4"/>
  <c r="S33" i="4"/>
  <c r="T33" i="4"/>
  <c r="U33" i="4"/>
  <c r="V33" i="4"/>
  <c r="Q34" i="4"/>
  <c r="R34" i="4"/>
  <c r="S34" i="4"/>
  <c r="T34" i="4"/>
  <c r="U34" i="4"/>
  <c r="V34" i="4"/>
  <c r="Q35" i="4"/>
  <c r="R35" i="4"/>
  <c r="S35" i="4"/>
  <c r="T35" i="4"/>
  <c r="U35" i="4"/>
  <c r="V35" i="4"/>
  <c r="Q36" i="4"/>
  <c r="R36" i="4"/>
  <c r="S36" i="4"/>
  <c r="T36" i="4"/>
  <c r="U36" i="4"/>
  <c r="V36" i="4"/>
  <c r="Q37" i="4"/>
  <c r="R37" i="4"/>
  <c r="S37" i="4"/>
  <c r="T37" i="4"/>
  <c r="U37" i="4"/>
  <c r="V37" i="4"/>
  <c r="Q38" i="4"/>
  <c r="R38" i="4"/>
  <c r="S38" i="4"/>
  <c r="T38" i="4"/>
  <c r="U38" i="4"/>
  <c r="V38" i="4"/>
  <c r="Q39" i="4"/>
  <c r="R39" i="4"/>
  <c r="S39" i="4"/>
  <c r="T39" i="4"/>
  <c r="U39" i="4"/>
  <c r="V39" i="4"/>
  <c r="U3" i="4"/>
  <c r="V3" i="4"/>
  <c r="Q15" i="4" l="1"/>
  <c r="Q7" i="4"/>
  <c r="S19" i="4"/>
  <c r="Q4" i="4"/>
  <c r="Q12" i="4"/>
  <c r="AA7" i="4"/>
  <c r="AA40" i="4" s="1"/>
  <c r="O6" i="5"/>
  <c r="Y21" i="4"/>
  <c r="Y40" i="4" s="1"/>
  <c r="Q16" i="4"/>
  <c r="Z8" i="4"/>
  <c r="Z9" i="4"/>
  <c r="T9" i="4"/>
  <c r="F10" i="5"/>
  <c r="E10" i="5"/>
  <c r="E22" i="5"/>
  <c r="F22" i="5"/>
  <c r="E27" i="5"/>
  <c r="F27" i="5"/>
  <c r="E11" i="5"/>
  <c r="F11" i="5"/>
  <c r="G38" i="5"/>
  <c r="C102" i="1"/>
  <c r="C105" i="1"/>
  <c r="E23" i="5"/>
  <c r="F23" i="5"/>
  <c r="E28" i="5"/>
  <c r="F28" i="5"/>
  <c r="F12" i="5"/>
  <c r="E12" i="5"/>
  <c r="E24" i="5"/>
  <c r="F24" i="5"/>
  <c r="E25" i="5"/>
  <c r="F25" i="5"/>
  <c r="E29" i="5"/>
  <c r="F29" i="5"/>
  <c r="O36" i="5"/>
  <c r="E19" i="5"/>
  <c r="F19" i="5"/>
  <c r="F21" i="5"/>
  <c r="E21" i="5"/>
  <c r="E26" i="5"/>
  <c r="F26" i="5"/>
  <c r="E37" i="6"/>
  <c r="Q10" i="4"/>
  <c r="P6" i="5"/>
  <c r="N6" i="5"/>
  <c r="X40" i="4"/>
  <c r="W40" i="4"/>
  <c r="E20" i="5"/>
  <c r="F20" i="5"/>
  <c r="E8" i="5"/>
  <c r="G6" i="5"/>
  <c r="S40" i="4"/>
  <c r="V40" i="4"/>
  <c r="U40" i="4"/>
  <c r="E32" i="6" s="1"/>
  <c r="I1" i="6" s="1"/>
  <c r="AB40" i="4"/>
  <c r="T3" i="4"/>
  <c r="R3" i="4"/>
  <c r="R40" i="4" s="1"/>
  <c r="Q3" i="4"/>
  <c r="T40" i="4" l="1"/>
  <c r="Z40" i="4"/>
  <c r="E24" i="6" s="1"/>
  <c r="D215" i="9"/>
  <c r="C159" i="1"/>
  <c r="Q40" i="4"/>
  <c r="E6" i="6" s="1"/>
  <c r="E18" i="6"/>
  <c r="I8" i="6" s="1"/>
  <c r="E17" i="6"/>
  <c r="I3" i="6" s="1"/>
  <c r="E20" i="6"/>
  <c r="I11" i="6" s="1"/>
  <c r="E19" i="6"/>
  <c r="C94" i="1"/>
  <c r="P36" i="5"/>
  <c r="G36" i="5"/>
  <c r="E31" i="6"/>
  <c r="I5" i="6" s="1"/>
  <c r="E30" i="6"/>
  <c r="E3" i="6"/>
  <c r="E4" i="6"/>
  <c r="I9" i="6" s="1"/>
  <c r="E38" i="6"/>
  <c r="E39" i="6" s="1"/>
  <c r="E40" i="6" s="1"/>
  <c r="E13" i="6"/>
  <c r="E11" i="6"/>
  <c r="I6" i="6" s="1"/>
  <c r="E12" i="6"/>
  <c r="F6" i="5"/>
  <c r="E6" i="5"/>
  <c r="E36" i="5" s="1"/>
  <c r="N36" i="5"/>
  <c r="E7" i="6" l="1"/>
  <c r="E5" i="6"/>
  <c r="I4" i="6"/>
  <c r="D208" i="9" s="1"/>
  <c r="D212" i="9"/>
  <c r="C155" i="1"/>
  <c r="D227" i="9"/>
  <c r="C166" i="1"/>
  <c r="D211" i="9"/>
  <c r="C157" i="1"/>
  <c r="D238" i="9"/>
  <c r="C176" i="1"/>
  <c r="D213" i="9"/>
  <c r="C156" i="1"/>
  <c r="D209" i="9"/>
  <c r="C154" i="1"/>
  <c r="C98" i="1"/>
  <c r="F36" i="5"/>
  <c r="I7" i="6"/>
  <c r="I10" i="6"/>
  <c r="I12" i="6"/>
  <c r="C93" i="1"/>
  <c r="C153" i="1" l="1"/>
  <c r="C169" i="1"/>
  <c r="D225" i="9"/>
  <c r="D239" i="9"/>
  <c r="C175" i="1"/>
  <c r="C177" i="1"/>
  <c r="D228" i="9"/>
  <c r="C167" i="1"/>
  <c r="C97" i="1"/>
  <c r="C99" i="1" s="1"/>
  <c r="C50" i="1" l="1"/>
</calcChain>
</file>

<file path=xl/sharedStrings.xml><?xml version="1.0" encoding="utf-8"?>
<sst xmlns="http://schemas.openxmlformats.org/spreadsheetml/2006/main" count="4204" uniqueCount="1657">
  <si>
    <t>02.02.100</t>
  </si>
  <si>
    <t>02.00.000</t>
  </si>
  <si>
    <t>02.02.000</t>
  </si>
  <si>
    <t>SERVIÇOS PRELIMINARES</t>
  </si>
  <si>
    <t>DEMOLIÇÕES</t>
  </si>
  <si>
    <t>Demolição convencional</t>
  </si>
  <si>
    <t>02.02.300</t>
  </si>
  <si>
    <t>Remoções</t>
  </si>
  <si>
    <t>02.02.330</t>
  </si>
  <si>
    <t>Carga, transporte, descarga e espalhamento de materiais</t>
  </si>
  <si>
    <t>04.00.000</t>
  </si>
  <si>
    <t>ARQUITETURA</t>
  </si>
  <si>
    <t>ARQUITETURA E ELEMENTOS DE URBANISMO</t>
  </si>
  <si>
    <t>04.01.000</t>
  </si>
  <si>
    <t>04.01.100</t>
  </si>
  <si>
    <t>Paredes</t>
  </si>
  <si>
    <t>04.01.121.01</t>
  </si>
  <si>
    <t>04.01.121.02</t>
  </si>
  <si>
    <t>04.01.700</t>
  </si>
  <si>
    <t>Acabamentos e arremates</t>
  </si>
  <si>
    <t>CENTRO DE PLANEJAMENTO OSCAR NIEMEYER</t>
  </si>
  <si>
    <t>ENDEREÇO:</t>
  </si>
  <si>
    <t>DATA:</t>
  </si>
  <si>
    <t>Quantidade Unitária</t>
  </si>
  <si>
    <t>Quantidade Total</t>
  </si>
  <si>
    <t>Referência</t>
  </si>
  <si>
    <t>Q</t>
  </si>
  <si>
    <t>Comp.</t>
  </si>
  <si>
    <t>Largura</t>
  </si>
  <si>
    <t>Altura</t>
  </si>
  <si>
    <t>Área</t>
  </si>
  <si>
    <t>Volume</t>
  </si>
  <si>
    <t>Extensão</t>
  </si>
  <si>
    <t>(m²)</t>
  </si>
  <si>
    <t>(m³)</t>
  </si>
  <si>
    <t>(m)</t>
  </si>
  <si>
    <t>Total do serviço</t>
  </si>
  <si>
    <t>04.01.200</t>
  </si>
  <si>
    <t>Esquadrias</t>
  </si>
  <si>
    <t>Revestimentos de forros</t>
  </si>
  <si>
    <t>04.01.550</t>
  </si>
  <si>
    <t>04.01.560</t>
  </si>
  <si>
    <t>Pinturas</t>
  </si>
  <si>
    <t>04.01.800</t>
  </si>
  <si>
    <t>Equipamentos e acessórios</t>
  </si>
  <si>
    <t>04.01.830</t>
  </si>
  <si>
    <t>Metais sanitários da cozinha</t>
  </si>
  <si>
    <t>06.00.000</t>
  </si>
  <si>
    <t>INSTALAÇÕES ELÉTRICAS</t>
  </si>
  <si>
    <t>INSTALAÇÕES ELÉTRICAS E ELETRÔNICAS</t>
  </si>
  <si>
    <t>Cód</t>
  </si>
  <si>
    <t>Serviço</t>
  </si>
  <si>
    <t>Quant</t>
  </si>
  <si>
    <t>Unid</t>
  </si>
  <si>
    <t>Fonte</t>
  </si>
  <si>
    <t>04.01.101</t>
  </si>
  <si>
    <t>04.01.111.02</t>
  </si>
  <si>
    <t>Encunhamento</t>
  </si>
  <si>
    <t>Contraverga pré-moldada</t>
  </si>
  <si>
    <t>04.01.141</t>
  </si>
  <si>
    <t>Encunhamento de argamassa com bisnaga</t>
  </si>
  <si>
    <t>04.01.130</t>
  </si>
  <si>
    <t>Vergas, contravergas e cintas</t>
  </si>
  <si>
    <t>04.01.140</t>
  </si>
  <si>
    <t>Cinta de amarração c/bloco canaleta (na altura das vergas)</t>
  </si>
  <si>
    <t>04.01.133.01</t>
  </si>
  <si>
    <t>04.01.133.02</t>
  </si>
  <si>
    <t>04.01.113</t>
  </si>
  <si>
    <t>Cobogós</t>
  </si>
  <si>
    <t>04.01.120</t>
  </si>
  <si>
    <t>Divisória de granito 3cm (sanitários)</t>
  </si>
  <si>
    <t>Drywall</t>
  </si>
  <si>
    <t>Lã de rocha no drywall</t>
  </si>
  <si>
    <t>Ambiente</t>
  </si>
  <si>
    <t>T</t>
  </si>
  <si>
    <t>Pav</t>
  </si>
  <si>
    <t>DESCONTOS DE ESQUADRIAS PARA CADA TIPO DE REVESTIMENTO (m2)</t>
  </si>
  <si>
    <t>REVESTIMENTOS DE PAREDE (Comprimento bruto em planta - m)</t>
  </si>
  <si>
    <t>Lab de Microssonda e Microcopia</t>
  </si>
  <si>
    <t>Altura até a laje</t>
  </si>
  <si>
    <t>REVESTIMENTOS DE PAREDE ATÉ O FORRO (Área líquida - m2)</t>
  </si>
  <si>
    <t>REVESTIMENTOS DE PAREDE ATÉ A LAJE (Área líquida - m2)</t>
  </si>
  <si>
    <t>Sala de Descrição de Testemunhos</t>
  </si>
  <si>
    <t>N/A</t>
  </si>
  <si>
    <t>Rack</t>
  </si>
  <si>
    <t>Sala de Amostras de Testemunhos</t>
  </si>
  <si>
    <t>Lab de Laminação</t>
  </si>
  <si>
    <t>Sanitários</t>
  </si>
  <si>
    <t>Sanitário PCD</t>
  </si>
  <si>
    <t>Depósito</t>
  </si>
  <si>
    <t>Sala de professor - 9,97m2</t>
  </si>
  <si>
    <t>Sala de professor - 14,64m2</t>
  </si>
  <si>
    <t>Oficina de pequenos reparos</t>
  </si>
  <si>
    <t>Lab de isótopos estáveis</t>
  </si>
  <si>
    <t>Lab de Petrografia</t>
  </si>
  <si>
    <t>Hall de entrada</t>
  </si>
  <si>
    <t>Circulação e escada</t>
  </si>
  <si>
    <t>Paredes de 15cm</t>
  </si>
  <si>
    <t>Comprimento total medido em planta</t>
  </si>
  <si>
    <t>Área total bruta, considerando h até a laje</t>
  </si>
  <si>
    <t>Paredes de 20cm</t>
  </si>
  <si>
    <t>TÉRREO</t>
  </si>
  <si>
    <t>Desconto de área de esquadrias</t>
  </si>
  <si>
    <t>Desconto de área de paredes que acabam em vigas</t>
  </si>
  <si>
    <t>Comprimento de paredes que acabam em vigas</t>
  </si>
  <si>
    <t>EA4a</t>
  </si>
  <si>
    <t>EA1</t>
  </si>
  <si>
    <t>EA4b</t>
  </si>
  <si>
    <t>EA4c</t>
  </si>
  <si>
    <t>PA1</t>
  </si>
  <si>
    <t>PA2</t>
  </si>
  <si>
    <t>TOTAL</t>
  </si>
  <si>
    <t>Quant 15cm</t>
  </si>
  <si>
    <t>PA5</t>
  </si>
  <si>
    <t>PA2b</t>
  </si>
  <si>
    <t>PA4</t>
  </si>
  <si>
    <t>PM1</t>
  </si>
  <si>
    <t>PM2</t>
  </si>
  <si>
    <t>PM3</t>
  </si>
  <si>
    <t>PM4</t>
  </si>
  <si>
    <t>PM5</t>
  </si>
  <si>
    <t>PA3</t>
  </si>
  <si>
    <t>Comprimento de cinta de amarração</t>
  </si>
  <si>
    <t>Desc. Paredes que acabam em vigas e esquadrias da fachada</t>
  </si>
  <si>
    <t>Sala de Pesq. Vis. (RedeBR) e Pós-Graduandos</t>
  </si>
  <si>
    <t>Lab. de Difração de Raios-X</t>
  </si>
  <si>
    <t>Laboratório Ar | Ar</t>
  </si>
  <si>
    <t>Sala conjunta de prep. de amostras</t>
  </si>
  <si>
    <t>Lab. de Fluorescência</t>
  </si>
  <si>
    <t>Lab. de Geoquímmica de Rocha</t>
  </si>
  <si>
    <t>Cooler</t>
  </si>
  <si>
    <t>Sala de Prof 9.97m2</t>
  </si>
  <si>
    <t>Salas de Profs 6 x 14.6m2</t>
  </si>
  <si>
    <t>Sala de Reunião</t>
  </si>
  <si>
    <t>Fachada NW</t>
  </si>
  <si>
    <t>Fachada SE</t>
  </si>
  <si>
    <t>Área técnica SW</t>
  </si>
  <si>
    <t>Área técnica NE</t>
  </si>
  <si>
    <t>SUPERIOR</t>
  </si>
  <si>
    <t>Quant 20cm</t>
  </si>
  <si>
    <t>EA7</t>
  </si>
  <si>
    <t>Térreo</t>
  </si>
  <si>
    <t>Comp. Medido em Planta, altura até a laje</t>
  </si>
  <si>
    <t>Desconto da área de paredes que só vão até a viga</t>
  </si>
  <si>
    <t>Superior</t>
  </si>
  <si>
    <t>EA2</t>
  </si>
  <si>
    <t>EA4d</t>
  </si>
  <si>
    <t>EA6a</t>
  </si>
  <si>
    <t>EA6b</t>
  </si>
  <si>
    <t>EA6c</t>
  </si>
  <si>
    <t>EA6d</t>
  </si>
  <si>
    <t>m2</t>
  </si>
  <si>
    <t>Memorial de cálculos</t>
  </si>
  <si>
    <t>Alvenaria de vedação de 9 cm</t>
  </si>
  <si>
    <t>Alvenaria de vedação de 14 cm</t>
  </si>
  <si>
    <t>Comp. Medido em Planta, altura até o forro</t>
  </si>
  <si>
    <t>Mesma quantidade de drywall</t>
  </si>
  <si>
    <t>Comprimento total de paredes, medido em planta</t>
  </si>
  <si>
    <t>Desconto das paredes que acabam em vigas (não precisam de cinta)</t>
  </si>
  <si>
    <t>Desconto das esquadrias de fachada</t>
  </si>
  <si>
    <t>m</t>
  </si>
  <si>
    <t>Comprimento total, medido em planta</t>
  </si>
  <si>
    <t>Composição montada com base na mão de obra e materiais de instalação de 90790 ou 100675 (dependendo da dimensão), trocando apenas o insumo da porta para 91011 (ou adaptações deste, conforme a dimensão da porta)</t>
  </si>
  <si>
    <t>Composição montada com base na composiçao ORSE 8258</t>
  </si>
  <si>
    <t>Extensão medida em planta</t>
  </si>
  <si>
    <t>Drywall sem vãos</t>
  </si>
  <si>
    <t>Drywall com vãos</t>
  </si>
  <si>
    <t>04.01.121.03</t>
  </si>
  <si>
    <t>unidade</t>
  </si>
  <si>
    <t>Caderno de especificações</t>
  </si>
  <si>
    <t>Quantitativo do Caderno de Especificações. Composição montada com base na mão de obra, silicone e parafusos de 100674/SINAPI</t>
  </si>
  <si>
    <t>EA3</t>
  </si>
  <si>
    <t>EA5</t>
  </si>
  <si>
    <t>PM3b</t>
  </si>
  <si>
    <t>04.02.300</t>
  </si>
  <si>
    <t>Vidros e plásticos</t>
  </si>
  <si>
    <t>04.02.305.01</t>
  </si>
  <si>
    <t>Vidro laminado 6mm (EA1 a EA7)</t>
  </si>
  <si>
    <t>CB1</t>
  </si>
  <si>
    <t>CB2</t>
  </si>
  <si>
    <t>CB3</t>
  </si>
  <si>
    <t>DV1</t>
  </si>
  <si>
    <t>DV2</t>
  </si>
  <si>
    <t>DV3</t>
  </si>
  <si>
    <t>DV4</t>
  </si>
  <si>
    <t>DV5</t>
  </si>
  <si>
    <t>04.01.400</t>
  </si>
  <si>
    <t>Cobertura e fechamento lateral</t>
  </si>
  <si>
    <t>Telha policarbonato</t>
  </si>
  <si>
    <t>04.01.413</t>
  </si>
  <si>
    <t>Peças complementares de alumínio</t>
  </si>
  <si>
    <t>04.01.413.01</t>
  </si>
  <si>
    <t>04.01.413.02</t>
  </si>
  <si>
    <t>Perfil F de alumínio para suporte de cobertura de policarbonato</t>
  </si>
  <si>
    <t>2,07 kg/m obtido de https://casadopolicarbonato.com/produto/perfil-arremate-f-de-aluminio-6mm/</t>
  </si>
  <si>
    <t>0,734 kg/m obtido de https://shockmetais.com.br/tabelas/aluminio/canto-des</t>
  </si>
  <si>
    <t>Cantoneira de alumínio abas desiguais, 50x38mm (2" x 1 1/2")</t>
  </si>
  <si>
    <t>04.01.404</t>
  </si>
  <si>
    <t>04.01.407</t>
  </si>
  <si>
    <t>Telha de chapa metálica</t>
  </si>
  <si>
    <t>↗</t>
  </si>
  <si>
    <t>Multiplicação (conforme pitágoras) para transformar a projeção em comprimento real</t>
  </si>
  <si>
    <t>Área medida em projeção de planta</t>
  </si>
  <si>
    <r>
      <t>Valor = cos(2,86</t>
    </r>
    <r>
      <rPr>
        <sz val="8"/>
        <rFont val="Calibri"/>
        <family val="2"/>
      </rPr>
      <t>°</t>
    </r>
    <r>
      <rPr>
        <sz val="9.1999999999999993"/>
        <rFont val="Arial"/>
        <family val="2"/>
      </rPr>
      <t>)</t>
    </r>
  </si>
  <si>
    <t>04.01.510</t>
  </si>
  <si>
    <t>Revestimentos de pisos</t>
  </si>
  <si>
    <t>Espessura</t>
  </si>
  <si>
    <t>Revestimento</t>
  </si>
  <si>
    <t>30mm</t>
  </si>
  <si>
    <t>Chapisco paredes internas</t>
  </si>
  <si>
    <t>5mm</t>
  </si>
  <si>
    <t>Massa única paredes internas</t>
  </si>
  <si>
    <t>Massa corrida 2 demãos</t>
  </si>
  <si>
    <t>0mm</t>
  </si>
  <si>
    <t>20mm</t>
  </si>
  <si>
    <t>Até a laje</t>
  </si>
  <si>
    <t>Até o forro</t>
  </si>
  <si>
    <t>REV 1</t>
  </si>
  <si>
    <t>Alvenaria pintada</t>
  </si>
  <si>
    <t>Selador acrílico 1 demão</t>
  </si>
  <si>
    <t>Pintura acrílica 2 demãos</t>
  </si>
  <si>
    <t>REV 2</t>
  </si>
  <si>
    <t>Drywall pintado</t>
  </si>
  <si>
    <t>2,5mm</t>
  </si>
  <si>
    <t>Massa corrida 1 demão</t>
  </si>
  <si>
    <t>REV 5</t>
  </si>
  <si>
    <t>Parede pintada sem massa</t>
  </si>
  <si>
    <t>Chapisco paredes fachada com vãos</t>
  </si>
  <si>
    <t>25mm</t>
  </si>
  <si>
    <t>Massa única fachada com vãos</t>
  </si>
  <si>
    <t>REV 6</t>
  </si>
  <si>
    <t>Revestimento cerâmico meia-altura</t>
  </si>
  <si>
    <t>Emboço p/cerâmica</t>
  </si>
  <si>
    <t>Altura até o forro* (com folga de 15cm)</t>
  </si>
  <si>
    <t>Cálculo diferenciado</t>
  </si>
  <si>
    <t>REV 7</t>
  </si>
  <si>
    <t>Revestimento cerâmico altura inteira</t>
  </si>
  <si>
    <t>04.01.530</t>
  </si>
  <si>
    <t>Revestimentos de paredes</t>
  </si>
  <si>
    <t>04.01.531.01</t>
  </si>
  <si>
    <t>Chapisco interno</t>
  </si>
  <si>
    <t>Chapisco para fachadas com vãos</t>
  </si>
  <si>
    <t>Memorial de cálculos de revestimento de paredes</t>
  </si>
  <si>
    <t>04.01.531.02</t>
  </si>
  <si>
    <t>04.01.532.01</t>
  </si>
  <si>
    <t>04.01.532.02</t>
  </si>
  <si>
    <t>Massa única para fachadas com vãos</t>
  </si>
  <si>
    <t>Massa única interna</t>
  </si>
  <si>
    <t>04.01.532.03</t>
  </si>
  <si>
    <t>Emboço para cerâmica</t>
  </si>
  <si>
    <t>04.01.534.01</t>
  </si>
  <si>
    <t>Cerâmica meia-altura</t>
  </si>
  <si>
    <t>04.01.534.02</t>
  </si>
  <si>
    <t>Cerâmica altura inteira</t>
  </si>
  <si>
    <t>Cerâmica meia altura</t>
  </si>
  <si>
    <t>W.C. Feminino</t>
  </si>
  <si>
    <t>W.C Masculino</t>
  </si>
  <si>
    <t>W.C. PCD</t>
  </si>
  <si>
    <t>Desconto janela W.C. Fem</t>
  </si>
  <si>
    <t>Desconto janela W.C. Masc</t>
  </si>
  <si>
    <t>x</t>
  </si>
  <si>
    <t>Pintura na parte superior da cerâmica a meia altura</t>
  </si>
  <si>
    <t>Medido em prancha pelo hatch</t>
  </si>
  <si>
    <t>Desconto das luminárias</t>
  </si>
  <si>
    <t>Forro removível acartonado</t>
  </si>
  <si>
    <t>04.01.555</t>
  </si>
  <si>
    <t>04.01.554</t>
  </si>
  <si>
    <t>Forro autoportante acartonado</t>
  </si>
  <si>
    <t>04.01.710</t>
  </si>
  <si>
    <t>Tabica metálica para forro de gesso</t>
  </si>
  <si>
    <t>Medido em prancha</t>
  </si>
  <si>
    <t xml:space="preserve">Medido em prancha </t>
  </si>
  <si>
    <t>04.01.561.01</t>
  </si>
  <si>
    <t>Massa corrida 1 demão em paredes (drywalls)</t>
  </si>
  <si>
    <t>Massa corrida 2 demãos em paredes (alvenarias pintadas)</t>
  </si>
  <si>
    <t>04.01.561.02</t>
  </si>
  <si>
    <t>04.01.561.03</t>
  </si>
  <si>
    <t>Massa corrida 1 demão em teto (forro fixo de drywall)</t>
  </si>
  <si>
    <t>memorial</t>
  </si>
  <si>
    <t>04.01.561.04</t>
  </si>
  <si>
    <t>04.01.561.05</t>
  </si>
  <si>
    <t>Selador em paredes 1 demão</t>
  </si>
  <si>
    <t>Selador em teto 1 demão</t>
  </si>
  <si>
    <t>Mesmo quant. de 04.01.554</t>
  </si>
  <si>
    <t>Pintura látex PVA em teto, 2 demãos</t>
  </si>
  <si>
    <t>Pintura acrílica em paredes, 2 demãos</t>
  </si>
  <si>
    <t>04.01.566</t>
  </si>
  <si>
    <t>Memorial de cálculos de revestimento de paredes + Memorial de cálculos (parede com cerâmica até meia-altura)</t>
  </si>
  <si>
    <t>CM</t>
  </si>
  <si>
    <t>Pintura acrílica 3 demãos</t>
  </si>
  <si>
    <t>04.01.569.01</t>
  </si>
  <si>
    <t>04.01.569.02</t>
  </si>
  <si>
    <t>Pintura acrílica em paredes, 3 demãos</t>
  </si>
  <si>
    <t>04.01.600</t>
  </si>
  <si>
    <t>Impermeabilizações</t>
  </si>
  <si>
    <t>04.01.601.01</t>
  </si>
  <si>
    <t>Camada de regularização</t>
  </si>
  <si>
    <t>Cobertura</t>
  </si>
  <si>
    <t>Desconto alçapão</t>
  </si>
  <si>
    <t>04.01.601.02</t>
  </si>
  <si>
    <t>04.01.701.01</t>
  </si>
  <si>
    <t>Rodapé de granito h=10cm, e=2cm</t>
  </si>
  <si>
    <t>04.01.701.02</t>
  </si>
  <si>
    <t>Rodapé plano para piso vinílico, h=7,5cm</t>
  </si>
  <si>
    <t>04.01.703</t>
  </si>
  <si>
    <t>Peitoril de granito cinza andorinha, e=2cm</t>
  </si>
  <si>
    <t>Soleira de granito cinza andorinha, 15cm, e=2cm</t>
  </si>
  <si>
    <t>04.01.702.01</t>
  </si>
  <si>
    <t>Quantitativo de chapisco e reboco das paredes do telhado na cobertura</t>
  </si>
  <si>
    <t>Memorial de cálculos de revestimento de paredes + Memorial de cálculos (cobertura)</t>
  </si>
  <si>
    <t>Memorial de cálculos de revestimento de paredes + Memorial de cálculos (cobertura e parte pintada da parede de cerâmica)</t>
  </si>
  <si>
    <t>04.01.808.01</t>
  </si>
  <si>
    <t>04.01.808.02</t>
  </si>
  <si>
    <t>04.01.808.03</t>
  </si>
  <si>
    <t>04.01.808.04</t>
  </si>
  <si>
    <t>Quantitativo do caderno de especificações. Comp montada baseada em SINAPI 86889 + adaptações de SINAPI 98685 para rodabancada e saia</t>
  </si>
  <si>
    <t>Bancada reta em granito cinza andorinha com espessura de 2cm, conforme projeto, dimensões 99x17cm (BG3)</t>
  </si>
  <si>
    <t>Bancada reta em granito cinza andorinha com espessura de 2cm, conforme projeto, dimensões 99x17cm (BG4)</t>
  </si>
  <si>
    <t>Quantitativo do caderno de especificações. Comp montada baseada em SINAPI 86895</t>
  </si>
  <si>
    <t>Bancada reta em granito cinza andorinha com espessura de 2cm, inclusive saia, rodabanca e mãos-francesas, conforme projeto, dimensões 178x80cm (BG5)</t>
  </si>
  <si>
    <t>BG1</t>
  </si>
  <si>
    <t>Nome</t>
  </si>
  <si>
    <t>BG2</t>
  </si>
  <si>
    <t>BG3</t>
  </si>
  <si>
    <t>BG4</t>
  </si>
  <si>
    <t>BG5</t>
  </si>
  <si>
    <t>BG6</t>
  </si>
  <si>
    <t>BG7</t>
  </si>
  <si>
    <t>BG8</t>
  </si>
  <si>
    <t>BG9</t>
  </si>
  <si>
    <t>Área de granito</t>
  </si>
  <si>
    <t>Comp. Rodabanca</t>
  </si>
  <si>
    <t>Comp. Saia</t>
  </si>
  <si>
    <t>Massa</t>
  </si>
  <si>
    <t>Mão Francesa</t>
  </si>
  <si>
    <t>Granito</t>
  </si>
  <si>
    <t>Rejunte</t>
  </si>
  <si>
    <t>Argamassa</t>
  </si>
  <si>
    <t>BANCADA DE GRANITO CINZA POLIDO, DE 1,50 X 0,60 M, PARA PIA DE COZINHA - FORNECIMENTO E INSTALAÇÃO. AF_01/2020</t>
  </si>
  <si>
    <t>UN</t>
  </si>
  <si>
    <t/>
  </si>
  <si>
    <t>4823</t>
  </si>
  <si>
    <t>MASSA PLASTICA PARA MARMORE/GRANITO</t>
  </si>
  <si>
    <t>KG</t>
  </si>
  <si>
    <t>0,5228000</t>
  </si>
  <si>
    <t>7568</t>
  </si>
  <si>
    <t>BUCHA DE NYLON SEM ABA S10, COM PARAFUSO DE 6,10 X 65 MM EM ACO ZINCADO COM ROSCA SOBERBA, CABECA CHATA E FENDA PHILLIPS</t>
  </si>
  <si>
    <t>6,0000000</t>
  </si>
  <si>
    <t>11795</t>
  </si>
  <si>
    <t>GRANITO PARA BANCADA, POLIDO, TIPO ANDORINHA/ QUARTZ/ CASTELO/ CORUMBA OU OUTROS EQUIVALENTES DA REGIAO, E=  *2,5* CM</t>
  </si>
  <si>
    <t>M2</t>
  </si>
  <si>
    <t>1,0050000</t>
  </si>
  <si>
    <t>37329</t>
  </si>
  <si>
    <t>REJUNTE EPOXI BRANCO</t>
  </si>
  <si>
    <t>0,0211000</t>
  </si>
  <si>
    <t>37591</t>
  </si>
  <si>
    <t>SUPORTE MAO-FRANCESA EM ACO, ABAS IGUAIS 40 CM, CAPACIDADE MINIMA 70 KG, BRANCO</t>
  </si>
  <si>
    <t>2,0000000</t>
  </si>
  <si>
    <t>88274</t>
  </si>
  <si>
    <t>MARMORISTA/GRANITEIRO COM ENCARGOS COMPLEMENTARES</t>
  </si>
  <si>
    <t>H</t>
  </si>
  <si>
    <t>1,4944000</t>
  </si>
  <si>
    <t>88316</t>
  </si>
  <si>
    <t>SERVENTE COM ENCARGOS COMPLEMENTARES</t>
  </si>
  <si>
    <t>0,9834000</t>
  </si>
  <si>
    <t>RODAPÉ EM GRANITO, ALTURA 10 CM. AF_06/2018</t>
  </si>
  <si>
    <t>M</t>
  </si>
  <si>
    <t>20231</t>
  </si>
  <si>
    <t>RODAPE OU RODABANCADA EM GRANITO, POLIDO, TIPO ANDORINHA/ QUARTZ/ CASTELO/ CORUMBA OU OUTROS EQUIVALENTES DA REGIAO, H= 10 CM, E=  *2,0* CM</t>
  </si>
  <si>
    <t>1,0400000</t>
  </si>
  <si>
    <t>34356</t>
  </si>
  <si>
    <t>REJUNTE BRANCO, CIMENTICIO</t>
  </si>
  <si>
    <t>0,1200000</t>
  </si>
  <si>
    <t>37595</t>
  </si>
  <si>
    <t>ARGAMASSA COLANTE TIPO AC III</t>
  </si>
  <si>
    <t>0,8614000</t>
  </si>
  <si>
    <t>0,2990000</t>
  </si>
  <si>
    <t>0,1500000</t>
  </si>
  <si>
    <t>Parafuso</t>
  </si>
  <si>
    <t>Marmorista</t>
  </si>
  <si>
    <t>Servente</t>
  </si>
  <si>
    <t>Bancada reta em granito cinza andorinha com espessura de 2cm, inclusive saia, rodabanca e mão-francesa, conforme projeto, dimensões 174x57cm (BG1)</t>
  </si>
  <si>
    <t>Bancada reta em granito cinza andorinha com espessura de 2cm, inclusive saia, rodabanca e mão-francesa, conforme projeto, dimensões 174x57cm (BG2)</t>
  </si>
  <si>
    <t>Bancada reta em granito cinza andorinha com espessura de 2cm, inclusive saia, rodabanca e mãos-francesas, conforme projeto, dimensões 208x80cm (BG6)</t>
  </si>
  <si>
    <t>Bancada reta em granito cinza andorinha com espessura de 2cm, inclusive saia, rodabanca e mãos-francesas, conforme projeto, dimensões 320x80cm (BG7)</t>
  </si>
  <si>
    <t>Bancada reta em granito cinza andorinha com espessura de 2cm, inclusive saia, rodabanca e mãos-francesas, conforme projeto, dimensões 240x80cm (BG8)</t>
  </si>
  <si>
    <t>Bancada reta em granito cinza andorinha com espessura de 2cm, inclusive saia, rodabanca e mãos-francesas, conforme projeto, dimensões 240x80cm (BG9)</t>
  </si>
  <si>
    <t>04.01.808.05</t>
  </si>
  <si>
    <t>04.01.808.06</t>
  </si>
  <si>
    <t>04.01.808.07</t>
  </si>
  <si>
    <t>04.01.808.08</t>
  </si>
  <si>
    <t>04.01.808.09</t>
  </si>
  <si>
    <t>04.01.565</t>
  </si>
  <si>
    <t>Pintura com silicone sobre peças de granito</t>
  </si>
  <si>
    <t>Louças e metais de sanitários</t>
  </si>
  <si>
    <t>04.01.811</t>
  </si>
  <si>
    <t>Cuba de embutir oval grande, em louça branca, ref. Deca L37 ou similar, fornecimento e instalação</t>
  </si>
  <si>
    <t>Cuba em louça branca com coluna suspensa, ref. Deca Vogue Plus L.51.17, fornecimento e instalação</t>
  </si>
  <si>
    <t>W.C PCD</t>
  </si>
  <si>
    <t>04.01.812</t>
  </si>
  <si>
    <t>Mictório com sifão integrado, ref. Deca M712, inclusive válvula de descarga para mictório, ref. Deca 2570C, e conjunto de fixação, fornecimento e instalação</t>
  </si>
  <si>
    <t>Vaso sanitário sifonado convencional em louça branca, inclusive conjunto de fixação, ref. Deca Ravena P9, fornecimento e instalação</t>
  </si>
  <si>
    <t>Vaso sanitário sifonado convencional em louça branca, para PCD, sem furo frontal, inclusive conjunto de fixação, ref. Deca Vogue Plus P51, fornecimento e instalação</t>
  </si>
  <si>
    <t>Torneira para lavatório com fechamento automático, ref. Deca 1170, fornecimento e instalação</t>
  </si>
  <si>
    <t>Torneira para lavatório com fechamento automático, acionamento por alavanca, ref. Deca 1173.C.CONF, fornecimento e instalação</t>
  </si>
  <si>
    <t>Torneira para uso geral, ref. Deca 1154.C.39</t>
  </si>
  <si>
    <t>Sifão para lavatório cromado de garrafa</t>
  </si>
  <si>
    <t>Mesma quantidade de cubas</t>
  </si>
  <si>
    <t>Válvula para lavatório cromada</t>
  </si>
  <si>
    <t>Engate flexível inox</t>
  </si>
  <si>
    <t>04.01.811.01</t>
  </si>
  <si>
    <t>04.01.811.02</t>
  </si>
  <si>
    <t>04.01.811.03</t>
  </si>
  <si>
    <t>04.01.811.04</t>
  </si>
  <si>
    <t>04.01.811.05</t>
  </si>
  <si>
    <t>04.01.811.06</t>
  </si>
  <si>
    <t>04.01.811.07</t>
  </si>
  <si>
    <t>04.01.811.08</t>
  </si>
  <si>
    <t>04.01.811.09</t>
  </si>
  <si>
    <t>04.01.811.10</t>
  </si>
  <si>
    <t>04.01.811.11</t>
  </si>
  <si>
    <t>Mesma quantidade de 04.01.811.01</t>
  </si>
  <si>
    <t>Mesma quantidade de 04.01.811.02</t>
  </si>
  <si>
    <t>Acessórios sanitários</t>
  </si>
  <si>
    <t>Dispenser para papel higiênico em rolo 400 m, em ABS branco/cinza, fechamento com chave</t>
  </si>
  <si>
    <t>Dispenser para papel toalha interfolhada, duas dobras GR, em ABS branco/cinza, fechamento com chave</t>
  </si>
  <si>
    <t>Dispenser para sabonete líquido para refil de 800 ml, com reservatório independente, em ABS branco/cinza, fechamento com chave</t>
  </si>
  <si>
    <t>Cabide de louça branco</t>
  </si>
  <si>
    <t>Barra de apoio fixa, em aço inoxidável com e=1,5mm, 70cm, acabamento escovado</t>
  </si>
  <si>
    <t>Barra de apoio fixa em aço inoxidável com e=1,5mm, 80cm, acabamento escovado</t>
  </si>
  <si>
    <t>Barra de apoio lateral fixa em U, em aço inox, escovado, 25x24cm</t>
  </si>
  <si>
    <t>04.01.812.01</t>
  </si>
  <si>
    <t>04.01.812.02</t>
  </si>
  <si>
    <t>04.01.812.03</t>
  </si>
  <si>
    <t>04.01.812.04</t>
  </si>
  <si>
    <t>04.01.812.05</t>
  </si>
  <si>
    <t>04.01.812.06</t>
  </si>
  <si>
    <t>04.01.812.07</t>
  </si>
  <si>
    <t>Mesma quantidade de bacias (comuns + PCD)</t>
  </si>
  <si>
    <t>Um em cada sanitário (comum ou PCD)</t>
  </si>
  <si>
    <t>Mesma quantidade de bacias + mictórios (comuns + PCD)</t>
  </si>
  <si>
    <t>1 em cada sanitário PCD</t>
  </si>
  <si>
    <t>2 em cada sanitário masculino + 2 em cada sanitário PCD</t>
  </si>
  <si>
    <t>2 em cada sanitário PCD</t>
  </si>
  <si>
    <t>Assento sanitário comum</t>
  </si>
  <si>
    <t>Assento sanitário PCD</t>
  </si>
  <si>
    <t>Mesma quantidade de bacias comuns</t>
  </si>
  <si>
    <t>Mesma quantidade de bacias PCD</t>
  </si>
  <si>
    <t>04.01.812.08</t>
  </si>
  <si>
    <t>04.01.812.09</t>
  </si>
  <si>
    <t>04.01.870</t>
  </si>
  <si>
    <t>Equipamentos de laboratórios</t>
  </si>
  <si>
    <t>Torneira de parede bica móvel</t>
  </si>
  <si>
    <t>Torneira de mesa bica móvel</t>
  </si>
  <si>
    <t>Sifão para pia e tanque</t>
  </si>
  <si>
    <t>Cuba de sobrepor aço inox 60x50x27</t>
  </si>
  <si>
    <t>04.01.871.01</t>
  </si>
  <si>
    <t>04.01.871.02</t>
  </si>
  <si>
    <t>04.01.871.03</t>
  </si>
  <si>
    <t>04.01.872</t>
  </si>
  <si>
    <t>03.00.000</t>
  </si>
  <si>
    <t>ESTRUTURAS DE CONCRETO</t>
  </si>
  <si>
    <t>03.02.000</t>
  </si>
  <si>
    <t>FUNDAÇÕES E ESTRUTURAS</t>
  </si>
  <si>
    <t>03.02.135</t>
  </si>
  <si>
    <t>Bancadas de concreto</t>
  </si>
  <si>
    <t>03.02.136</t>
  </si>
  <si>
    <t>03.02.137</t>
  </si>
  <si>
    <t>03.02.138</t>
  </si>
  <si>
    <t>03.02.139</t>
  </si>
  <si>
    <t>Formas das bancadas de concreto</t>
  </si>
  <si>
    <t>Armadura das bancadas de concreto</t>
  </si>
  <si>
    <t>Concreto das bancadas de concreto</t>
  </si>
  <si>
    <t>Rodabancada das bancadas de concreto</t>
  </si>
  <si>
    <t>BC1</t>
  </si>
  <si>
    <t>BC2</t>
  </si>
  <si>
    <t>Alvenaria em tijolo de barro maciço, meia-vez (esp. 15cm) - alvenarias das calhas de cobertura + suporte das bancadas de concreto</t>
  </si>
  <si>
    <t>Cobertura - extensão medida em planta</t>
  </si>
  <si>
    <t>BC3</t>
  </si>
  <si>
    <t>BC4</t>
  </si>
  <si>
    <t>BC5</t>
  </si>
  <si>
    <t>BC6</t>
  </si>
  <si>
    <t>BC7</t>
  </si>
  <si>
    <t>BC8</t>
  </si>
  <si>
    <t>BC9</t>
  </si>
  <si>
    <t>BC10</t>
  </si>
  <si>
    <t>BC11</t>
  </si>
  <si>
    <t>BC12</t>
  </si>
  <si>
    <t>BC13</t>
  </si>
  <si>
    <t>BC14</t>
  </si>
  <si>
    <t>BC15</t>
  </si>
  <si>
    <t>BC16</t>
  </si>
  <si>
    <t>BC18</t>
  </si>
  <si>
    <t>BC17</t>
  </si>
  <si>
    <t>EXTRA</t>
  </si>
  <si>
    <t>Revestimento da base das bancadas</t>
  </si>
  <si>
    <t>BC4 - Seção 1</t>
  </si>
  <si>
    <t>BC4 - Seção 2</t>
  </si>
  <si>
    <t>BC4 - Seção 3</t>
  </si>
  <si>
    <t>BC4 - Seção 4</t>
  </si>
  <si>
    <t>BC6 - Seção 1</t>
  </si>
  <si>
    <t>BC6 - Seção 2</t>
  </si>
  <si>
    <t>BC6 - Seção 3</t>
  </si>
  <si>
    <t>BC6 - Seção 4</t>
  </si>
  <si>
    <t>BC6 - Seção 5</t>
  </si>
  <si>
    <t>BC7 - Seção 1</t>
  </si>
  <si>
    <t>BC7 - Seção 2</t>
  </si>
  <si>
    <t>BC7 - Seção 3</t>
  </si>
  <si>
    <t>BC7 - Seção 4</t>
  </si>
  <si>
    <t>BC7 - Seção 5</t>
  </si>
  <si>
    <t>BC10 - Seção 1</t>
  </si>
  <si>
    <t>BC10 - Seção 2</t>
  </si>
  <si>
    <t>BC10 - Seção 3</t>
  </si>
  <si>
    <t>BC12 - Seção 1</t>
  </si>
  <si>
    <t>BC12 - Seção 2</t>
  </si>
  <si>
    <t>BC12 - Seção 3</t>
  </si>
  <si>
    <t>BC12 - Seção 4</t>
  </si>
  <si>
    <t>BC12 - Seção 5</t>
  </si>
  <si>
    <t>BC15 - Seção 1</t>
  </si>
  <si>
    <t>BC15 - Seção 2</t>
  </si>
  <si>
    <t>BC15 - Seção 3</t>
  </si>
  <si>
    <t>m3</t>
  </si>
  <si>
    <t>04.01.568</t>
  </si>
  <si>
    <t>Pintura com tinta epóxi sobre bancadas de concreto</t>
  </si>
  <si>
    <t>Mesmo quant. de 03.02.136</t>
  </si>
  <si>
    <t>06.10.000</t>
  </si>
  <si>
    <t>06.10.100</t>
  </si>
  <si>
    <t>Escavação de valas</t>
  </si>
  <si>
    <t>Escavação mecanizada de valas</t>
  </si>
  <si>
    <t>06.10.102</t>
  </si>
  <si>
    <t>PE-EL-01</t>
  </si>
  <si>
    <t>Trecho entre o poste e a subest</t>
  </si>
  <si>
    <t>Trechos novos enterrados</t>
  </si>
  <si>
    <t>PE-EL-04</t>
  </si>
  <si>
    <t>PE-EL-32</t>
  </si>
  <si>
    <t>PE-EL-33</t>
  </si>
  <si>
    <t>Cabos nus enterrados</t>
  </si>
  <si>
    <t>PE-PR-01</t>
  </si>
  <si>
    <t>Reaterro compactado</t>
  </si>
  <si>
    <t>06.10.103</t>
  </si>
  <si>
    <t>03.02.120</t>
  </si>
  <si>
    <t>Vigas Baldrame</t>
  </si>
  <si>
    <t>03.02.121</t>
  </si>
  <si>
    <t>03.02.132.01</t>
  </si>
  <si>
    <t>03.02.123</t>
  </si>
  <si>
    <t>03.02.122.01</t>
  </si>
  <si>
    <t>Concreto</t>
  </si>
  <si>
    <t>Forma em compensado de 12 a 14mm</t>
  </si>
  <si>
    <t>Prancha FOR-EX-101</t>
  </si>
  <si>
    <t>03.02.122.02</t>
  </si>
  <si>
    <t>03.02.122.03</t>
  </si>
  <si>
    <t>03.02.122.04</t>
  </si>
  <si>
    <t>03.02.122.05</t>
  </si>
  <si>
    <t>03.02.122.06</t>
  </si>
  <si>
    <t>Armadura CA-60 5mm</t>
  </si>
  <si>
    <t>Armadura CA-50 6,3mm</t>
  </si>
  <si>
    <t>Armadura CA-50 8mm</t>
  </si>
  <si>
    <t>Armadura CA-50 10mm</t>
  </si>
  <si>
    <t>Armadura CA-50 12,5mm</t>
  </si>
  <si>
    <t>Armadura CA-50 16mm</t>
  </si>
  <si>
    <t>Pranchas VIG-EX-623, 624, 625 e 626</t>
  </si>
  <si>
    <t>Pranchas VIG-EX-624 e 626</t>
  </si>
  <si>
    <t>kg</t>
  </si>
  <si>
    <t>03.01.000</t>
  </si>
  <si>
    <t>FUNDAÇÕES</t>
  </si>
  <si>
    <t>03.02.130</t>
  </si>
  <si>
    <t>Lajes</t>
  </si>
  <si>
    <t>03.02.131</t>
  </si>
  <si>
    <t>03.02.132.02</t>
  </si>
  <si>
    <t>Pranchas LAJ-EX-427, 428 e 429</t>
  </si>
  <si>
    <t>03.02.133</t>
  </si>
  <si>
    <t>Prancha LAJ-EX-427</t>
  </si>
  <si>
    <t>Concreto Pré-Moldado</t>
  </si>
  <si>
    <t>03.02.300</t>
  </si>
  <si>
    <t>03.02.110</t>
  </si>
  <si>
    <t>Pilares</t>
  </si>
  <si>
    <t>Prancha PIL-EX-320</t>
  </si>
  <si>
    <t>PE1</t>
  </si>
  <si>
    <t>PE2</t>
  </si>
  <si>
    <t>PE3</t>
  </si>
  <si>
    <t>03.02.111</t>
  </si>
  <si>
    <t>03.02.112.01</t>
  </si>
  <si>
    <t>03.02.112.02</t>
  </si>
  <si>
    <t>03.02.112.03</t>
  </si>
  <si>
    <t>03.02.113</t>
  </si>
  <si>
    <t>Armação das vigas pré-moldadas</t>
  </si>
  <si>
    <t>Elemento</t>
  </si>
  <si>
    <t>CA-60 ø5</t>
  </si>
  <si>
    <t>CA-50 ø6,3</t>
  </si>
  <si>
    <t>CA-50 ø8,0</t>
  </si>
  <si>
    <t>CA-50 ø16</t>
  </si>
  <si>
    <t>CA-50 ø10</t>
  </si>
  <si>
    <t>VP1</t>
  </si>
  <si>
    <t>VP2</t>
  </si>
  <si>
    <t>VP3</t>
  </si>
  <si>
    <t>VP4</t>
  </si>
  <si>
    <t>VP5</t>
  </si>
  <si>
    <t>VP6</t>
  </si>
  <si>
    <t>VP7</t>
  </si>
  <si>
    <t>VP8</t>
  </si>
  <si>
    <t>VP9</t>
  </si>
  <si>
    <t>VP10</t>
  </si>
  <si>
    <t>VP11</t>
  </si>
  <si>
    <t>VP12</t>
  </si>
  <si>
    <t>VP13</t>
  </si>
  <si>
    <t>VP14</t>
  </si>
  <si>
    <t>VP15</t>
  </si>
  <si>
    <t>VP16</t>
  </si>
  <si>
    <t>VP17</t>
  </si>
  <si>
    <t>VP18</t>
  </si>
  <si>
    <t>VP19</t>
  </si>
  <si>
    <t>VP20</t>
  </si>
  <si>
    <t>VP21</t>
  </si>
  <si>
    <t>VP22</t>
  </si>
  <si>
    <t>concreto</t>
  </si>
  <si>
    <t>CA-50 ø12,5</t>
  </si>
  <si>
    <t>CA-50 ø25</t>
  </si>
  <si>
    <t>CA-50 ø20</t>
  </si>
  <si>
    <t>VP10-B</t>
  </si>
  <si>
    <t>VIG-EX-627</t>
  </si>
  <si>
    <t>VP22-B</t>
  </si>
  <si>
    <t>VIG-EX-628</t>
  </si>
  <si>
    <t>VIG-EX-629</t>
  </si>
  <si>
    <t>VIG-EX-630</t>
  </si>
  <si>
    <t>VP22-C</t>
  </si>
  <si>
    <t>VP22-D</t>
  </si>
  <si>
    <t>VIG-EX-601</t>
  </si>
  <si>
    <t>VIG-EX-602</t>
  </si>
  <si>
    <t>VIG-EX-603</t>
  </si>
  <si>
    <t>VIG-EX-604</t>
  </si>
  <si>
    <t>VIG-EX-605</t>
  </si>
  <si>
    <t>VIG-EX-606</t>
  </si>
  <si>
    <t>VIG-EX-607</t>
  </si>
  <si>
    <t>VIG-EX-608</t>
  </si>
  <si>
    <t>VIG-EX-609</t>
  </si>
  <si>
    <t>VIG-EX-610</t>
  </si>
  <si>
    <t>VIG-EX-611</t>
  </si>
  <si>
    <t>VIG-EX-612</t>
  </si>
  <si>
    <t>VIG-EX-613</t>
  </si>
  <si>
    <t>VIG-EX-614</t>
  </si>
  <si>
    <t>VIG-EX-615</t>
  </si>
  <si>
    <t>VIG-EX-616</t>
  </si>
  <si>
    <t>VIG-EX-617</t>
  </si>
  <si>
    <t>VIG-EX-618</t>
  </si>
  <si>
    <t>VIG-EX-619</t>
  </si>
  <si>
    <t>VIG-EX-620</t>
  </si>
  <si>
    <t>VIG-EX-621</t>
  </si>
  <si>
    <t>VIG-EX-622</t>
  </si>
  <si>
    <t>Proporção (kg/m3 de concreto)</t>
  </si>
  <si>
    <t>Área de lajes pré moldadas</t>
  </si>
  <si>
    <t>PS03-1</t>
  </si>
  <si>
    <t>PS03-2</t>
  </si>
  <si>
    <t>PS03-3</t>
  </si>
  <si>
    <t>PS03-4</t>
  </si>
  <si>
    <t>PS03-5</t>
  </si>
  <si>
    <t>PS03-6</t>
  </si>
  <si>
    <t>PS03-7</t>
  </si>
  <si>
    <t>PS03-8</t>
  </si>
  <si>
    <t>PS03-9</t>
  </si>
  <si>
    <t>PS03-10</t>
  </si>
  <si>
    <t>PS03-11</t>
  </si>
  <si>
    <t>PS03-12</t>
  </si>
  <si>
    <t>PS03-13</t>
  </si>
  <si>
    <t>PS03-14</t>
  </si>
  <si>
    <t>PS03-15</t>
  </si>
  <si>
    <t>PS03-16</t>
  </si>
  <si>
    <t>PS03-17</t>
  </si>
  <si>
    <t>PS03-18</t>
  </si>
  <si>
    <t>PS03-19</t>
  </si>
  <si>
    <t>PS03-20</t>
  </si>
  <si>
    <t>PS03-21</t>
  </si>
  <si>
    <t>PS04-1</t>
  </si>
  <si>
    <t>PS04-2</t>
  </si>
  <si>
    <t>PS04-3</t>
  </si>
  <si>
    <t>PS04-4</t>
  </si>
  <si>
    <t>PS04-9</t>
  </si>
  <si>
    <t>08.00.000</t>
  </si>
  <si>
    <t>INSTALAÇÕES DE PREVENÇÃO E COMBATE A INCÊNDIO</t>
  </si>
  <si>
    <t>08.01.000</t>
  </si>
  <si>
    <t>PREVENÇÃO E COMBATE A INCÊNDIO</t>
  </si>
  <si>
    <t>08.01.100</t>
  </si>
  <si>
    <t>Tubulações e conexões de ferro fundido</t>
  </si>
  <si>
    <t>08.01.101</t>
  </si>
  <si>
    <t>Tubo ø63</t>
  </si>
  <si>
    <t>08.01.104</t>
  </si>
  <si>
    <t>08.01.109</t>
  </si>
  <si>
    <t>08.01.102</t>
  </si>
  <si>
    <t>Joelho ø63</t>
  </si>
  <si>
    <t>Tê ø63</t>
  </si>
  <si>
    <t>Cap ø63</t>
  </si>
  <si>
    <t>08.01.500</t>
  </si>
  <si>
    <t>Placas 12, 13, 16 e 17A (verde, saída de emergência, 25 x 12,5cm)</t>
  </si>
  <si>
    <t>Placas 17b (verde, saída de emergência, 44 x 12,5cm)</t>
  </si>
  <si>
    <t>Placas 19A (pavimento, 12,5x12,5cm)</t>
  </si>
  <si>
    <t>Placas 4 (proib usar elevador)</t>
  </si>
  <si>
    <t>Placas 28 (rota de saída, 20x7cm)</t>
  </si>
  <si>
    <t>Placas 23 (extintor)</t>
  </si>
  <si>
    <t>Placas 25 (hidrante)</t>
  </si>
  <si>
    <t>Placas 17c, 17e e 17f (verde, saída de emergência, 35 x 12,5cm)</t>
  </si>
  <si>
    <t>adesivo ORSE</t>
  </si>
  <si>
    <t>Chapa de fixação no solo</t>
  </si>
  <si>
    <t>Tela</t>
  </si>
  <si>
    <t>Cantoneira para tela</t>
  </si>
  <si>
    <t>Barras montantes</t>
  </si>
  <si>
    <t>Guarda-corpo GC1 - quantitativo de pintura (total)</t>
  </si>
  <si>
    <t>Guarda-corpo GC2 - quantitativo de pintura (total)</t>
  </si>
  <si>
    <t>2,703 m de comprimento, 1 unidade</t>
  </si>
  <si>
    <t>Guarda-corpo GC3 - quantitativo de pintura (total)</t>
  </si>
  <si>
    <t>Guarda-corpo GC6 - quantitativo de pintura (total)</t>
  </si>
  <si>
    <t>5,30 m de comprimento, 3 unidades</t>
  </si>
  <si>
    <t>4,20 m de comprimento, 3 unidades</t>
  </si>
  <si>
    <t>Corrimão duplo - quantitativo de pintura (total)</t>
  </si>
  <si>
    <t>Tubo</t>
  </si>
  <si>
    <t>Aux</t>
  </si>
  <si>
    <t>Guarda-corpo reto</t>
  </si>
  <si>
    <t>Guarda-corpo reto e inclinado</t>
  </si>
  <si>
    <t>Guarda-corpo inclinado</t>
  </si>
  <si>
    <t>Corrimão duplo</t>
  </si>
  <si>
    <t>GC1</t>
  </si>
  <si>
    <t>GC6</t>
  </si>
  <si>
    <t>GC7</t>
  </si>
  <si>
    <t>GC8</t>
  </si>
  <si>
    <t>GC9</t>
  </si>
  <si>
    <t>Patamar escada 2</t>
  </si>
  <si>
    <t>GC2</t>
  </si>
  <si>
    <t>GC5</t>
  </si>
  <si>
    <t>GC3</t>
  </si>
  <si>
    <t>GC4</t>
  </si>
  <si>
    <t>C1</t>
  </si>
  <si>
    <t>C2</t>
  </si>
  <si>
    <t>C3</t>
  </si>
  <si>
    <t>04.01.564</t>
  </si>
  <si>
    <t>Pintura esmalte (2 demãos) com proteção em zarcão</t>
  </si>
  <si>
    <t>Metalon 40 x 40</t>
  </si>
  <si>
    <t>Pefil U 75  x 40</t>
  </si>
  <si>
    <t>Pefil U 50 x 25</t>
  </si>
  <si>
    <t>Placa base</t>
  </si>
  <si>
    <t>Demolição da bancada de concreto da fachada que vai ser demolida</t>
  </si>
  <si>
    <t>02.02.140.01</t>
  </si>
  <si>
    <t>Dimensões da porta PA04 na prancha PE-AR 18/22</t>
  </si>
  <si>
    <t>02.02.111.01</t>
  </si>
  <si>
    <t>Dimensões da bancada na prancha PE-AR 02/22</t>
  </si>
  <si>
    <t>Não há informação de altura, foi estimado para fins de orçamento em 10cm</t>
  </si>
  <si>
    <t>02.02.140.02</t>
  </si>
  <si>
    <t>Demolição do piso elevado (alvenaria maciça?)</t>
  </si>
  <si>
    <t>Piso elevado no prédio existente</t>
  </si>
  <si>
    <t>Demolição da alvenaria da fachada que vai fazer a ligação + alv da porta interna</t>
  </si>
  <si>
    <t>Dimensões da parede onde há porta a ser demolida</t>
  </si>
  <si>
    <t>Desconto da área da porta</t>
  </si>
  <si>
    <t>02.02.150.01</t>
  </si>
  <si>
    <t>Demolição do piso de concreto do canteiro antigo</t>
  </si>
  <si>
    <t>02.02.301</t>
  </si>
  <si>
    <t>Tapume antigo</t>
  </si>
  <si>
    <t>Comprimento conforme prancha</t>
  </si>
  <si>
    <t>PE-AR 01/22</t>
  </si>
  <si>
    <t xml:space="preserve">Altura MÉDIA estimada em 1m conforme fotos </t>
  </si>
  <si>
    <t>Porta de alumínio existente</t>
  </si>
  <si>
    <t>1,35*2,10</t>
  </si>
  <si>
    <t>Capela / exaustores</t>
  </si>
  <si>
    <t>unidades</t>
  </si>
  <si>
    <t>02.02.302</t>
  </si>
  <si>
    <t>Volume de entulho</t>
  </si>
  <si>
    <t>Bancada de concreto</t>
  </si>
  <si>
    <t>EMPOLAMENTO DE 30%</t>
  </si>
  <si>
    <t>Alvenarias</t>
  </si>
  <si>
    <t>Piso elevado</t>
  </si>
  <si>
    <t>Piso de concreto do canteiro antigo</t>
  </si>
  <si>
    <t>Tapume a demolir</t>
  </si>
  <si>
    <t>Porta a retirar</t>
  </si>
  <si>
    <t>Exaustor a retirar</t>
  </si>
  <si>
    <t>Areia/brita existente no canteiro (estimado por fotos)</t>
  </si>
  <si>
    <t>02.04.000</t>
  </si>
  <si>
    <t>TERRAPLANAGEM</t>
  </si>
  <si>
    <t>02.04.100</t>
  </si>
  <si>
    <t>Limpeza e preparo da área</t>
  </si>
  <si>
    <t>Limpeza manual</t>
  </si>
  <si>
    <t>Limpeza mecanizada</t>
  </si>
  <si>
    <t>Hatch da prancha AR-PE 01/22</t>
  </si>
  <si>
    <t>Hatch e tabela na prancha PE-AR 01/22</t>
  </si>
  <si>
    <t>03.01.600</t>
  </si>
  <si>
    <t>Impermeabilização</t>
  </si>
  <si>
    <t>Perímetro total de blocos existentes</t>
  </si>
  <si>
    <t>Altura média de exposição estimada conforme visita in loco</t>
  </si>
  <si>
    <t>03.02.001</t>
  </si>
  <si>
    <t>Escovação das armaduras</t>
  </si>
  <si>
    <t>Estimativa de 0,1m2 por pilar</t>
  </si>
  <si>
    <t>REV I</t>
  </si>
  <si>
    <t xml:space="preserve">Lastro brita </t>
  </si>
  <si>
    <t>Lona plástica</t>
  </si>
  <si>
    <t>Piso de concreto armado</t>
  </si>
  <si>
    <t>Contrapiso com aditivo</t>
  </si>
  <si>
    <t>Argamassa polimérica</t>
  </si>
  <si>
    <t>200 + 60</t>
  </si>
  <si>
    <t>Manta vinílica 6008 Térreo</t>
  </si>
  <si>
    <t>200+22</t>
  </si>
  <si>
    <t>REV II</t>
  </si>
  <si>
    <t>Manta vinílica 6029 Térreo</t>
  </si>
  <si>
    <t>REV III</t>
  </si>
  <si>
    <t>Granito placas térreo</t>
  </si>
  <si>
    <t>REV V</t>
  </si>
  <si>
    <t>Piso cimentado térreo</t>
  </si>
  <si>
    <t>Piso de concreto</t>
  </si>
  <si>
    <t>Acabamento cimentado</t>
  </si>
  <si>
    <t>Manta vinílica 6008 Superior</t>
  </si>
  <si>
    <t>Manta vinílica 6029 Superior</t>
  </si>
  <si>
    <t>Manta vinílica I</t>
  </si>
  <si>
    <t>Manta vinílica II</t>
  </si>
  <si>
    <t>Granito placas Superior</t>
  </si>
  <si>
    <t>Compactação</t>
  </si>
  <si>
    <t>Contrapiso comum</t>
  </si>
  <si>
    <t>02.04.200</t>
  </si>
  <si>
    <t>Cortes</t>
  </si>
  <si>
    <t xml:space="preserve">Volume de corte </t>
  </si>
  <si>
    <t>Tabela da prancha de terraplanagem</t>
  </si>
  <si>
    <t>02.04.300</t>
  </si>
  <si>
    <t>Aterro compactado</t>
  </si>
  <si>
    <t>Compactação para execução de radier</t>
  </si>
  <si>
    <t>Projeção do prédio + projeção da subestação</t>
  </si>
  <si>
    <t>02.04.400</t>
  </si>
  <si>
    <t>Transporte</t>
  </si>
  <si>
    <t>Volume de solo para transporte</t>
  </si>
  <si>
    <t>Fator de conversão corte-&gt;solto obtido do livro "Como preparar orçamentos de obras" - Aldo Dórea Mattos, 2006, pág 140</t>
  </si>
  <si>
    <t xml:space="preserve">Volume da limpeza </t>
  </si>
  <si>
    <t>Volume do corte</t>
  </si>
  <si>
    <t>corte -&gt;solto</t>
  </si>
  <si>
    <t>*</t>
  </si>
  <si>
    <t>Pavimento térreo</t>
  </si>
  <si>
    <t>Pavimento superior</t>
  </si>
  <si>
    <t>Medido na prancha de piso</t>
  </si>
  <si>
    <t>Piso de granito</t>
  </si>
  <si>
    <t>Piso em granito</t>
  </si>
  <si>
    <t>Degraus da escada 1 (com espelho)</t>
  </si>
  <si>
    <t>Degraus da escada 2 (com espelho)</t>
  </si>
  <si>
    <t>Demais locais</t>
  </si>
  <si>
    <t>Recomposição da granitina</t>
  </si>
  <si>
    <t>04.01.515</t>
  </si>
  <si>
    <t>04.01.516</t>
  </si>
  <si>
    <t>Área do piso elevado demolido</t>
  </si>
  <si>
    <t>Parede demolida para instalar porta entre os blocos</t>
  </si>
  <si>
    <t>Outra parede demolida</t>
  </si>
  <si>
    <t>04.01.529</t>
  </si>
  <si>
    <t>Piso podotátil</t>
  </si>
  <si>
    <t>Medido em prancha, 104 placas 25x25</t>
  </si>
  <si>
    <t>04.02.000</t>
  </si>
  <si>
    <t>COMUNICAÇÃO VISUAL</t>
  </si>
  <si>
    <t>04.02.103</t>
  </si>
  <si>
    <t>Placas adesivas</t>
  </si>
  <si>
    <t>04.02.103.01</t>
  </si>
  <si>
    <t>Placa em braille para corrimãos</t>
  </si>
  <si>
    <t>um</t>
  </si>
  <si>
    <t>Uma em cada lado da escada, na entrada e no fim dos lances (até cada patamar)</t>
  </si>
  <si>
    <t>Placa fluorescente para degraus</t>
  </si>
  <si>
    <t>7 cm em cada degrau, de cada lado</t>
  </si>
  <si>
    <t>04.02.103.02</t>
  </si>
  <si>
    <t>Bancada BG1</t>
  </si>
  <si>
    <t>Bancada BG2</t>
  </si>
  <si>
    <t>Bancada BG3</t>
  </si>
  <si>
    <t>Bancada BG4</t>
  </si>
  <si>
    <t>Bancada BG5</t>
  </si>
  <si>
    <t>Bancada BG6</t>
  </si>
  <si>
    <t>Bancada BG7</t>
  </si>
  <si>
    <t>Bancada BG8</t>
  </si>
  <si>
    <t>Bancada BG9</t>
  </si>
  <si>
    <t>Rodapé de granito</t>
  </si>
  <si>
    <t>Soleira de granito</t>
  </si>
  <si>
    <t>Peitoril de granito</t>
  </si>
  <si>
    <t>Impermeabilização em poliuréia</t>
  </si>
  <si>
    <t>Mesmo quantitativo da regularização</t>
  </si>
  <si>
    <t>Brise de alumínio,cor bege duna (ref. R85c), modelo colmeia, mal de 100mm, fabricante Refax ou similar</t>
  </si>
  <si>
    <t>BRS1</t>
  </si>
  <si>
    <t>BRS1b</t>
  </si>
  <si>
    <t>BRS2</t>
  </si>
  <si>
    <t>Brise de alumínio, cor branca, modelo linear LC 100 60º, fabricante Refax ou similar</t>
  </si>
  <si>
    <t>BRS3</t>
  </si>
  <si>
    <t>Tamanho 40x80cm, 2 em cada sanitário, feminino e masculino, em cada pavimento</t>
  </si>
  <si>
    <t>Espelho cristal 4mm colado sobre cerâmica</t>
  </si>
  <si>
    <t>Espelho cristal 43x60cm instalado com inclinação no sanitário PCD</t>
  </si>
  <si>
    <t>1 em cada sanitário</t>
  </si>
  <si>
    <t>04.01.576</t>
  </si>
  <si>
    <t>Verniz e selador sobre concreto pré-moldado</t>
  </si>
  <si>
    <t>Área de fôrma dos pilares</t>
  </si>
  <si>
    <t>Medido na prancha do existente</t>
  </si>
  <si>
    <t>Vigas nos eixos B a E, superior</t>
  </si>
  <si>
    <t>Vigas nos eixos A e F, superior</t>
  </si>
  <si>
    <t>Vigas no eixo 2, cobertura</t>
  </si>
  <si>
    <t>Área de lajes pré-moldadas</t>
  </si>
  <si>
    <t>Cobogós (2 faces)</t>
  </si>
  <si>
    <t>Cantoneira de acabamento de cerâmica</t>
  </si>
  <si>
    <t>04.01.705</t>
  </si>
  <si>
    <t>Arremate de quinas de parede</t>
  </si>
  <si>
    <t>Arremate da interface cerâmica/parede nos banheiros comuns</t>
  </si>
  <si>
    <t>Arremate da interface cerâmica/parede nos banheiros PCD</t>
  </si>
  <si>
    <t>Nas bancadas de concreto com cuba</t>
  </si>
  <si>
    <t>Nas bancadas de granito para laboratório</t>
  </si>
  <si>
    <t>Em todas as bancadas</t>
  </si>
  <si>
    <t>02.02.303</t>
  </si>
  <si>
    <t>04.01.111.01</t>
  </si>
  <si>
    <t>Referência do projeto Revit</t>
  </si>
  <si>
    <t>Área do prédio existente</t>
  </si>
  <si>
    <t>01.00.000</t>
  </si>
  <si>
    <t>SERVIÇOS TÉCNICO-PROFISSIONAIS</t>
  </si>
  <si>
    <t>01.06.000</t>
  </si>
  <si>
    <t>PLANEJAMENTO E CONTROLE</t>
  </si>
  <si>
    <t>01.06.100</t>
  </si>
  <si>
    <t>Ensaios de recebimento de concreto</t>
  </si>
  <si>
    <t>Abatimento de tronco de cone</t>
  </si>
  <si>
    <t>Rompimento de corpo de prova</t>
  </si>
  <si>
    <t>01.06.101</t>
  </si>
  <si>
    <t>01.06.102</t>
  </si>
  <si>
    <t>1 a cada caminhão de 8m3 de concreto usinado</t>
  </si>
  <si>
    <t>Baldrames</t>
  </si>
  <si>
    <t>Bancadas</t>
  </si>
  <si>
    <t>Radier</t>
  </si>
  <si>
    <t>Calçada</t>
  </si>
  <si>
    <t>Memorial de cálculos (1 a cada 8m3 de concreto = 1 caminhão)</t>
  </si>
  <si>
    <t>4 x abatimento (4 a cada 8m3 de concreto = 1 caminhão)</t>
  </si>
  <si>
    <t>Blocos aparentes + baldrames novas</t>
  </si>
  <si>
    <t>Área de fôrma das baldrames</t>
  </si>
  <si>
    <t>09.00.000</t>
  </si>
  <si>
    <t>SERVIÇOS COMPLEMENTARES</t>
  </si>
  <si>
    <t>AS BUILT</t>
  </si>
  <si>
    <t>Estruturas</t>
  </si>
  <si>
    <t>Arquitetura</t>
  </si>
  <si>
    <t>Água Fria</t>
  </si>
  <si>
    <t>Águas Pluviais</t>
  </si>
  <si>
    <t>Esgoto</t>
  </si>
  <si>
    <t>Ar-condicionado</t>
  </si>
  <si>
    <t>Cabeamento estruturado</t>
  </si>
  <si>
    <t>Instalações Elétricas</t>
  </si>
  <si>
    <t>SPDA</t>
  </si>
  <si>
    <t>PCI</t>
  </si>
  <si>
    <t>2x projeção da área nova (775) + pergolado e redondezas (116)</t>
  </si>
  <si>
    <t>Campus Darcy Ribeiro</t>
  </si>
  <si>
    <t>CÓDIGO</t>
  </si>
  <si>
    <t>DESCRIÇÃO</t>
  </si>
  <si>
    <t>UNIDADE</t>
  </si>
  <si>
    <t>QUANT.</t>
  </si>
  <si>
    <t>ORSE INSUMO 12000</t>
  </si>
  <si>
    <t>Controle tecnológico de concreto - por rompimento de corpo de prova</t>
  </si>
  <si>
    <t>14,00</t>
  </si>
  <si>
    <t>ORSE INSUMO 4815</t>
  </si>
  <si>
    <t>Ensaio de consistência de concreto - Slump Test</t>
  </si>
  <si>
    <t>03.01.100</t>
  </si>
  <si>
    <t>ESCAVAÇÃO DE VALAS</t>
  </si>
  <si>
    <t>03.01.101</t>
  </si>
  <si>
    <t>MANUAL</t>
  </si>
  <si>
    <t>96527U</t>
  </si>
  <si>
    <t>ESCAVAÇÃO MANUAL DE VALA PARA VIGA BALDRAME, COM PREVISÃO DE FÔRMA. AF_06/2017</t>
  </si>
  <si>
    <t>M3</t>
  </si>
  <si>
    <t>IMPERMEABILIZAÇÃO</t>
  </si>
  <si>
    <t>03.01.602</t>
  </si>
  <si>
    <t>PINTURA COM EMULSÃO BETUMINOSA</t>
  </si>
  <si>
    <t>98557 MOD</t>
  </si>
  <si>
    <t>IMPERMEABILIZAÇÃO DE SUPERFÍCIE COM EMULSÃO ASFÁLTICA, 3 DEMÃOS</t>
  </si>
  <si>
    <t>CPOS 01.23.020</t>
  </si>
  <si>
    <t>Limpeza de armadura com escova de aço</t>
  </si>
  <si>
    <t>PILARES</t>
  </si>
  <si>
    <t>92430U</t>
  </si>
  <si>
    <t>MONTAGEM E DESMONTAGEM DE FÔRMA DE PILARES RETANGULARES E ESTRUTURAS SIMILARES COM ÁREA MÉDIA DAS SEÇÕES MENOR OU IGUAL A 0,25 M², PÉ-DIREITO SIMPLES, EM CHAPA DE MADEIRA COMPENSADA PLASTIFICADA, 10 UTILIZAÇÕES. AF_12/2015</t>
  </si>
  <si>
    <t>92720 MOD</t>
  </si>
  <si>
    <t>CONCRETAGEM DE PILARES, FCK = 40 MPA, COM USO DE BOMBA EM EDIFICAÇÃO COM SEÇÃO MÉDIA DE PILARES MENOR OU IGUAL A 0,25 M² - LANÇAMENTO, ADENSAMENTO E ACABAMENTO. AF_12/2015</t>
  </si>
  <si>
    <t>92759U</t>
  </si>
  <si>
    <t>ARMAÇÃO DE PILAR OU VIGA DE UMA ESTRUTURA CONVENCIONAL DE CONCRETO ARMADO EM UM EDIFÍCIO DE MÚLTIPLOS PAVIMENTOS UTILIZANDO AÇO CA-60 DE 5,0 MM - MONTAGEM. AF_12/2015</t>
  </si>
  <si>
    <t>8,00</t>
  </si>
  <si>
    <t>92762U</t>
  </si>
  <si>
    <t>ARMAÇÃO DE PILAR OU VIGA DE UMA ESTRUTURA CONVENCIONAL DE CONCRETO ARMADO EM UM EDIFÍCIO DE MÚLTIPLOS PAVIMENTOS UTILIZANDO AÇO CA-50 DE 10,0 MM - MONTAGEM. AF_12/2015</t>
  </si>
  <si>
    <t>92763U</t>
  </si>
  <si>
    <t>ARMAÇÃO DE PILAR OU VIGA DE UMA ESTRUTURA CONVENCIONAL DE CONCRETO ARMADO EM UM EDIFÍCIO DE MÚLTIPLOS PAVIMENTOS UTILIZANDO AÇO CA-50 DE 12,5 MM - MONTAGEM. AF_12/2015</t>
  </si>
  <si>
    <t>26,00</t>
  </si>
  <si>
    <t xml:space="preserve">VIGAS BALDRAME </t>
  </si>
  <si>
    <t>96542U</t>
  </si>
  <si>
    <t>FABRICAÇÃO, MONTAGEM E DESMONTAGEM DE FÔRMA PARA VIGA BALDRAME, EM CHAPA DE MADEIRA COMPENSADA RESINADA, E=17 MM, 4 UTILIZAÇÕES. AF_06/2017</t>
  </si>
  <si>
    <t>404,35</t>
  </si>
  <si>
    <t>96543U</t>
  </si>
  <si>
    <t>ARMAÇÃO DE BLOCO, VIGA BALDRAME E SAPATA UTILIZANDO AÇO CA-60 DE 5 MM - MONTAGEM. AF_06/2017</t>
  </si>
  <si>
    <t>294,00</t>
  </si>
  <si>
    <t>96544U</t>
  </si>
  <si>
    <t>ARMAÇÃO DE BLOCO, VIGA BALDRAME OU SAPATA UTILIZANDO AÇO CA-50 DE 6,3 MM - MONTAGEM. AF_06/2017</t>
  </si>
  <si>
    <t>458,00</t>
  </si>
  <si>
    <t>96545U</t>
  </si>
  <si>
    <t>ARMAÇÃO DE BLOCO, VIGA BALDRAME OU SAPATA UTILIZANDO AÇO CA-50 DE 8 MM - MONTAGEM. AF_06/2017</t>
  </si>
  <si>
    <t>233,00</t>
  </si>
  <si>
    <t>96546U</t>
  </si>
  <si>
    <t>ARMAÇÃO DE BLOCO, VIGA BALDRAME OU SAPATA UTILIZANDO AÇO CA-50 DE 10 MM - MONTAGEM. AF_06/2017</t>
  </si>
  <si>
    <t>651,00</t>
  </si>
  <si>
    <t>96547U</t>
  </si>
  <si>
    <t>ARMAÇÃO DE BLOCO, VIGA BALDRAME OU SAPATA UTILIZANDO AÇO CA-50 DE 12,5 MM - MONTAGEM. AF_06/2017</t>
  </si>
  <si>
    <t>137,00</t>
  </si>
  <si>
    <t>96548U</t>
  </si>
  <si>
    <t>ARMAÇÃO DE BLOCO, VIGA BALDRAME OU SAPATA UTILIZANDO AÇO CA-50 DE 16 MM - MONTAGEM. AF_06/2017</t>
  </si>
  <si>
    <t>176,00</t>
  </si>
  <si>
    <t>96557 MOD</t>
  </si>
  <si>
    <t>CONCRETAGEM DE BLOCOS DE COROAMENTO E VIGAS BALDRAMES, FCK 40 MPA, COM USO DE BOMBA ? LANÇAMENTO, ADENSAMENTO E ACABAMENTO. AF_06/2017</t>
  </si>
  <si>
    <t>26,56</t>
  </si>
  <si>
    <t>LAJES</t>
  </si>
  <si>
    <t>92521U</t>
  </si>
  <si>
    <t>MONTAGEM E DESMONTAGEM DE FÔRMA DE LAJE MACIÇA COM ÁREA MÉDIA MENOR OU IGUAL A 20 M², PÉ-DIREITO SIMPLES, EM CHAPA DE MADEIRA COMPENSADA RESINADA, 8 UTILIZAÇÕES. AF_12/2015</t>
  </si>
  <si>
    <t>24,71</t>
  </si>
  <si>
    <t>92769U</t>
  </si>
  <si>
    <t>ARMAÇÃO DE LAJE DE UMA ESTRUTURA CONVENCIONAL DE CONCRETO ARMADO EM UM EDIFÍCIO DE MÚLTIPLOS PAVIMENTOS UTILIZANDO AÇO CA-50 DE 6,3 MM - MONTAGEM. AF_12/2015</t>
  </si>
  <si>
    <t>54,00</t>
  </si>
  <si>
    <t>92770U</t>
  </si>
  <si>
    <t>ARMAÇÃO DE LAJE DE UMA ESTRUTURA CONVENCIONAL DE CONCRETO ARMADO EM UM EDIFÍCIO DE MÚLTIPLOS PAVIMENTOS UTILIZANDO AÇO CA-50 DE 8,0 MM - MONTAGEM. AF_12/2015</t>
  </si>
  <si>
    <t>17,00</t>
  </si>
  <si>
    <t>97094 MOD</t>
  </si>
  <si>
    <t>CONCRETAGEM DE LAJE, FCK 40 MPA, PARA ESPESSURA DE 10 CM - LANÇAMENTO, ADENSAMENTO E ACABAMENTO. AF_09/2017</t>
  </si>
  <si>
    <t>2,62</t>
  </si>
  <si>
    <t>BANCADAS DE CONCRETO</t>
  </si>
  <si>
    <t>TELA DE ACO SOLDADA NERVURADA, CA-60, Q-196, (3,11 KG/M2), DIAMETRO DO FIO = 5,0 MM, LARGURA = 2,45 M, ESPACAMENTO DA MALHA = 10 X 10 CM</t>
  </si>
  <si>
    <t>92418U</t>
  </si>
  <si>
    <t>MONTAGEM E DESMONTAGEM DE FÔRMA DE PILARES RETANGULARES E ESTRUTURAS SIMILARES COM ÁREA MÉDIA DAS SEÇÕES MENOR OU IGUAL A 0,25 M², PÉ-DIREITO SIMPLES, EM CHAPA DE MADEIRA COMPENSADA RESINADA, 4 UTILIZAÇÕES. AF_12/2015</t>
  </si>
  <si>
    <t>94967U</t>
  </si>
  <si>
    <t>CONCRETO FCK = 40MPA, TRAÇO 1:1,6:1,9 (CIMENTO/ AREIA MÉDIA/ BRITA 1) - PREPARO MECÂNICO COM BETONEIRA 400 L. AF_07/2016</t>
  </si>
  <si>
    <t>COMP. MONTADA 36</t>
  </si>
  <si>
    <t>Rodabancada em concreto, altura média de 21cm, espessura de 2cm, para bancadas tipo BC</t>
  </si>
  <si>
    <t>CONCRETO PRÉ-MOLDADO</t>
  </si>
  <si>
    <t>03.02.330</t>
  </si>
  <si>
    <t>VIGAS</t>
  </si>
  <si>
    <t>CPOS 15.05.520 MOD</t>
  </si>
  <si>
    <t>Vigas em concreto armado pré-moldado 40MPa</t>
  </si>
  <si>
    <t>03.02.340</t>
  </si>
  <si>
    <t>CPOS 13.03.150 (Boletim 173)</t>
  </si>
  <si>
    <t>Laje em painel pré-fabricado protendido alveolar, espessura 20 cm, com capeamento de 5cm</t>
  </si>
  <si>
    <t>DE ALVENARIA DE TIJOLOS MACIÇOS DE BARRO</t>
  </si>
  <si>
    <t>72132U</t>
  </si>
  <si>
    <t>ALVENARIA EM TIJOLO CERAMICO MACICO 5X10X20CM 1/2 VEZ (ESPESSURA 10CM), ASSENTADO COM ARGAMASSA TRACO 1:2:8 (CIMENTO, CAL E AREIA)</t>
  </si>
  <si>
    <t>04.01.111</t>
  </si>
  <si>
    <t>DE ALVENARIA DE BLOCOS CERÂMICOS</t>
  </si>
  <si>
    <t>89168U</t>
  </si>
  <si>
    <t>(COMPOSIÇÃO REPRESENTATIVA) DO SERVIÇO DE ALVENARIA DE VEDAÇÃO DE BLOCOS VAZADOS DE CERÂMICA DE 9X19X19CM (ESPESSURA 9CM), PARA EDIFICAÇÃO HABITACIONAL UNIFAMILIAR (CASA) E EDIFICAÇÃO PÚBLICA PADRÃO. AF_11/2014</t>
  </si>
  <si>
    <t>89977U</t>
  </si>
  <si>
    <t>(COMPOSIÇÃO REPRESENTATIVA) DO SERVIÇO DE ALVENARIA DE VEDAÇÃO DE BLOCOS VAZADOS DE CERÂMICA DE 14X9X19CM (ESPESSURA 14CM, BLOCO DEITADO), PARA EDIFICAÇÃO HABITACIONAL UNIFAMILIAR (CASA) E EDIFICAÇÃO PÚBLICA PADRÃO. AF_12/2014</t>
  </si>
  <si>
    <t>DE ALVENARIA DE ELEMENTOS VAZADOS DE CONCRETO</t>
  </si>
  <si>
    <t>73937/1 MOD</t>
  </si>
  <si>
    <t>COBOGÓ DE CONCRETO (ELEMENTO VAZADO), 6X41X41CM, ASSENTADO COM ARGAMASSA TRAÇO 1:5</t>
  </si>
  <si>
    <t>DE DIVISÓRIA DE GRANITO</t>
  </si>
  <si>
    <t>79627U</t>
  </si>
  <si>
    <t>DIVISORIA EM GRANITO BRANCO POLIDO, ESP = 3CM, ASSENTADO COM ARGAMASSA TRACO 1:4, ARREMATE EM CIMENTO BRANCO, EXCLUSIVE FERRAGENS</t>
  </si>
  <si>
    <t>04.01.121</t>
  </si>
  <si>
    <t>DE DIVISÓRIA DE GESSO</t>
  </si>
  <si>
    <t>96358U</t>
  </si>
  <si>
    <t>PAREDE COM PLACAS DE GESSO ACARTONADO (DRYWALL), PARA USO INTERNO, COM DUAS FACES SIMPLES E ESTRUTURA METÁLICA COM GUIAS SIMPLES, SEM VÃOS. AF_06/2017_P</t>
  </si>
  <si>
    <t>96359U</t>
  </si>
  <si>
    <t>PAREDE COM PLACAS DE GESSO ACARTONADO (DRYWALL), PARA USO INTERNO, COM DUAS FACES SIMPLES E ESTRUTURA METÁLICA COM GUIAS SIMPLES, COM VÃOS AF_06/2017_P</t>
  </si>
  <si>
    <t>96372U</t>
  </si>
  <si>
    <t>INSTALAÇÃO DE ISOLAMENTO COM LÃ DE ROCHA EM PAREDES DRYWALL. AF_06/2017</t>
  </si>
  <si>
    <t>VERGAS, CONTRAVERGAS E CINTAS</t>
  </si>
  <si>
    <t>04.01.133</t>
  </si>
  <si>
    <t>MOLDADAS IN LOCO COM BLOCO CANALETA</t>
  </si>
  <si>
    <t>93199U</t>
  </si>
  <si>
    <t>CONTRAVERGA MOLDADA IN LOCO COM UTILIZAÇÃO DE BLOCOS CANALETA PARA VÃOS DE MAIS DE 1,5 M DE COMPRIMENTO. AF_03/2016</t>
  </si>
  <si>
    <t>93205U</t>
  </si>
  <si>
    <t>CINTA DE AMARRAÇÃO DE ALVENARIA MOLDADA IN LOCO COM UTILIZAÇÃO DE BLOCOS CANALETA. AF_03/2016</t>
  </si>
  <si>
    <t>04.01.144</t>
  </si>
  <si>
    <t>COM ESPUMA DE PU</t>
  </si>
  <si>
    <t>93203U</t>
  </si>
  <si>
    <t>FIXAÇÃO (ENCUNHAMENTO) DE ALVENARIA DE VEDAÇÃO COM ESPUMA DE POLIURETANO EXPANSIVA. AF_03/2016</t>
  </si>
  <si>
    <t>04.01.220</t>
  </si>
  <si>
    <t>PORTA DE ALUMÍNIO EM VENEZIANA</t>
  </si>
  <si>
    <t>COMP. MONTADA 01</t>
  </si>
  <si>
    <t>Porta de abrir, 2 folhas, em alumínio anodizado, tipo veneziana, incluindo guarnição, batente, fechadura, chumbadores, dobradiças e parafusos, 122x140cm, fornecimento e instalação (PA1)</t>
  </si>
  <si>
    <t>1,00</t>
  </si>
  <si>
    <t>COMP. MONTADA 02</t>
  </si>
  <si>
    <t>Porta de abrir, 1 folha, em alumínio anodizado, tipo veneziana, incluindo guarnição, batente, fechadura, chumbadores, dobradiças e parafusos, 80x210cm, fornecimento e instalação (PA2)</t>
  </si>
  <si>
    <t>COMP. MONTADA 02D</t>
  </si>
  <si>
    <t>Porta de abrir, 1 folha, em alumínio anodizado, tipo veneziana, incluindo guarnição, batente, fechadura, chumbadores, dobradiças, parafusos e mola aérea, 80x210cm, fornecimento e instalação (PA2b)</t>
  </si>
  <si>
    <t>4,00</t>
  </si>
  <si>
    <t>COMP. MONTADA 03</t>
  </si>
  <si>
    <t>Porta de abrir, 1 folha, em alumínio anodizado, tipo veneziana, incluindo guarnição, batente, fechadura, chumbadores, dobradiças e parafusos, 90x210cm, fornecimento e instalação (PA3)</t>
  </si>
  <si>
    <t>3,00</t>
  </si>
  <si>
    <t>COMP. MONTADA 04</t>
  </si>
  <si>
    <t>Porta de abrir, 2 folhas, em alumínio anodizado, tipo veneziana, incluindo guarnição, batente, fechadura, chumbadores, dobradiças e parafusos, 160x210cm, fornecimento e instalação (PA4)</t>
  </si>
  <si>
    <t>COMP. MONTADA 04D</t>
  </si>
  <si>
    <t>Porta de abrir, 2 folhas, em alumínio anodizado, tipo veneziana, com aplicação de brise, incluindo guarnição, batente, fechadura, chumbadores, dobradiças e parafusos, 160x210cm, fornecimento e instalação (PA5)</t>
  </si>
  <si>
    <t>04.01.226</t>
  </si>
  <si>
    <t>CAIXILHO MÓVEL DE ALUMÍNIO EM CHAPA MACIÇA</t>
  </si>
  <si>
    <t>COMP. MONTADA 05</t>
  </si>
  <si>
    <t>Esquadria em alumínio anodizado branco, com módulos fixos em veneziana, fixos para vidro e basculantes para vidro (exclusive vidros), fixados com parafusos, dimensões 3740x225cm (EA1)</t>
  </si>
  <si>
    <t>COMP. MONTADA 06</t>
  </si>
  <si>
    <t>Esquadria em alumínio anodizado branco, com módulos fixos em veneziana, fixos para vidro e basculantes para vidro (exclusive vidros), fixados com parafusos, dimensões 3740x225cm (EA2)</t>
  </si>
  <si>
    <t>COMP. MONTADA 07</t>
  </si>
  <si>
    <t>Esquadria em alumínio anodizado branco, com módulos fixos para vidro, maxim-ar para vidro e com porta de abrir para vidros (exclusive vidros), fixados com parafusos, dimensões 705x320cm (EA3)</t>
  </si>
  <si>
    <t>COMP. MONTADA 08</t>
  </si>
  <si>
    <t>Esquadria em alumínio anodizado branco, com módulos fixos em veneziana, fixos para vidro, maxim-ar para vidro e basculantes para vidro (exclusive vidros), fixados com parafusos, dimensões 2227x250cm (EA4a)</t>
  </si>
  <si>
    <t>COMP. MONTADA 09</t>
  </si>
  <si>
    <t>Esquadria em alumínio anodizado branco, com módulos fixos em veneziana e fixos para vidro (exclusive vidros), fixados com parafusos, dimensões 316x180cm (EA4b)</t>
  </si>
  <si>
    <t>COMP. MONTADA 10</t>
  </si>
  <si>
    <t>Esquadria em alumínio anodizado branco, com módulos fixos em veneziana e basculantes para vidro (exclusive vidros), fixados com parafusos, dimensões 180x180cm (EA4c)</t>
  </si>
  <si>
    <t>COMP. MONTADA 11</t>
  </si>
  <si>
    <t>Esquadria em alumínio anodizado branco, com módulos fixos em veneziana e basculantes para vidro (exclusive vidros), fixados com parafusos, dimensões 190x180cm (EA4d)</t>
  </si>
  <si>
    <t>COMP. MONTADA 12</t>
  </si>
  <si>
    <t>Esquadria em alumínio anodizado branco, com módulos fixos para vidro (exclusive vidros), fixados com parafusos, dimensões 705x370cm (EA5)</t>
  </si>
  <si>
    <t>COMP. MONTADA 13</t>
  </si>
  <si>
    <t>Esquadria em alumínio anodizado branco, com módulos fixos em veneziana, fixos para vidro, maxim-ar para vidro e basculantes para vidro (exclusive vidros), fixados com parafusos, dimensões 2227x240cm (EA6a)</t>
  </si>
  <si>
    <t>COMP. MONTADA 14</t>
  </si>
  <si>
    <t>Esquadria em alumínio anodizado branco, com módulos fixos em veneziana e fixos para vidro (exclusive vidros), fixados com parafusos, dimensões 316x240cm (EA6b)</t>
  </si>
  <si>
    <t>COMP. MONTADA 15</t>
  </si>
  <si>
    <t>Esquadria em alumínio anodizado branco, com módulos fixos em veneziana, fixos para vidro, maxim-ar para vidro e basculantes para vidro (exclusive vidros), fixados com parafusos, dimensões 180x240cm (EA6c)</t>
  </si>
  <si>
    <t>COMP. MONTADA 16</t>
  </si>
  <si>
    <t>Esquadria em alumínio anodizado branco, com módulos fixos em veneziana, fixos para vidro, maxim-ar para vidro e basculantes para vidro (exclusive vidros), fixados com parafusos, dimensões 190x240cm (EA6d)</t>
  </si>
  <si>
    <t>COMP. MONTADA 17</t>
  </si>
  <si>
    <t>Esquadria em alumínio anodizado branco, com módulos fixos para vidro inclinado a 5 graus (exclusive vidros), fixados com parafusos, dimensões 180x320cm (EA7)</t>
  </si>
  <si>
    <t>2,00</t>
  </si>
  <si>
    <t>04.01.230</t>
  </si>
  <si>
    <t>PORTA DE MADEIRA COMPENSADA</t>
  </si>
  <si>
    <t>COMP. MONTADA 18</t>
  </si>
  <si>
    <t>Porta de madeira compensada, de abrir, 2 folhas, com revestimento laminado melamínico conforme projeto e caderno de especificações, incluindo folhas da porta, dobradiças, batente, fechadura e execução de furo, fornecimento e instalação, dimensões 160x210cm (PM1)</t>
  </si>
  <si>
    <t>10,00</t>
  </si>
  <si>
    <t>COMP. MONTADA 19</t>
  </si>
  <si>
    <t>Porta de madeira compensada, de abrir, 1 folha, com revestimento laminado melamínico conforme projeto e caderno de especificações, incluindo folha da porta, dobradiças, batente, fechadura e execução de furo, fornecimento e instalação, dimensões 80x210cm (PM2)</t>
  </si>
  <si>
    <t>COMP. MONTADA 20</t>
  </si>
  <si>
    <t>Porta de madeira compensada, de abrir, 1 folha, para drywall, com revestimento laminado melamínico conforme projeto e caderno de especificações, incluindo folha da porta, dobradiças, batente, fechadura e execução de furo, fornecimento e instalação, dimensões 90x210cm (PM3)</t>
  </si>
  <si>
    <t>COMP. MONTADA 21</t>
  </si>
  <si>
    <t>Porta de madeira compensada, de abrir, 1 folha, para drywall, com revestimento laminado melamínico conforme projeto e caderno de especificações, incluindo folha da porta, dobradiças, batente, fechadura e execução de furo, fornecimento e instalação, dimensões 90x210cm (PM3b)</t>
  </si>
  <si>
    <t>COMP. MONTADA 22</t>
  </si>
  <si>
    <t>Porta de madeira compensada, de abrir, 1 folha, com revestimento laminado melamínico conforme projeto e caderno de especificações, incluindo folha da porta, dobradiças, batente, fechadura e execução de furo, fornecimento e instalação, dimensões 100x210cm (PM4)</t>
  </si>
  <si>
    <t>COMP. MONTADA 23</t>
  </si>
  <si>
    <t>Porta de madeira compensada, de correr, com revestimento laminado melamínico conforme projeto e caderno de especificações, incluindo folha da porta, trilhos, roldanas, batente, fechadura e execução de furo, fornecimento e instalação, dimensões 80x210cm (PM5)</t>
  </si>
  <si>
    <t>COMP. MONTADA 24</t>
  </si>
  <si>
    <t>Porta de madeira compensada, de abrir, para box de sanitário, com revestimento lamiinado melamínico, conforme projeto e caderno de especificações, incluindo folha da porta, dobradiças para divisória de granito, tarjeta livre/ocupado, fornecimento e instalação, dimensões 80x170cm (PB1)</t>
  </si>
  <si>
    <t>6,00</t>
  </si>
  <si>
    <t>04.01.300</t>
  </si>
  <si>
    <t>VIDROS E PLÁSTICOS</t>
  </si>
  <si>
    <t>04.01.305</t>
  </si>
  <si>
    <t>VIDRO LAMINADO</t>
  </si>
  <si>
    <t>VIDRO COMUM LAMINADO, LISO, INCOLOR, DUPLO, ESPESSURA TOTAL 6 MM (CADA CAMADA E= 3 MM) - COLOCADO</t>
  </si>
  <si>
    <t>04.01.312</t>
  </si>
  <si>
    <t>ESPELHOS DE CRISTAL</t>
  </si>
  <si>
    <t>74125/2U</t>
  </si>
  <si>
    <t>ESPELHO CRISTAL ESPESSURA 4MM, COM MOLDURA EM ALUMINIO E COMPENSADO 6MM PLASTIFICADO COLADO</t>
  </si>
  <si>
    <t>2,56</t>
  </si>
  <si>
    <t>85005 MOD</t>
  </si>
  <si>
    <t>Espelho cristal 4mm 40x60, instalado com suporte para espelho inclinado PCD</t>
  </si>
  <si>
    <t>COBERTURA E FECHAMENTO LATERAL</t>
  </si>
  <si>
    <t>TELHAS DE CHAPA ACRÍLICA</t>
  </si>
  <si>
    <t>ORSE 12792 MOD</t>
  </si>
  <si>
    <t>Fornecimento e instalação de chapas de policarbonato compacto, e = 6mm, em cobertura</t>
  </si>
  <si>
    <t>TELHAS DE CHAPA METÁLICA</t>
  </si>
  <si>
    <t>94213 MOD</t>
  </si>
  <si>
    <t>Telhamento com telha de aço e=0,65mm, conforme projeto e especificações, incluso içamento</t>
  </si>
  <si>
    <t>655,54</t>
  </si>
  <si>
    <t>PEÇAS COMPLEMENTARES DE ALUMÍNIO</t>
  </si>
  <si>
    <t>COMP. MONTADA 25</t>
  </si>
  <si>
    <t>Perfil arremate F de aluminio 6mm para cobertura de policarbonato, 2,07kg/m</t>
  </si>
  <si>
    <t>43,82</t>
  </si>
  <si>
    <t>COMP. MONTADA 26</t>
  </si>
  <si>
    <t>Perfil cantoneira de alumínio, abas desiguais, 50x38mm (2'' x 1 1/2''), 0,734 kg/m</t>
  </si>
  <si>
    <t>04.01.415</t>
  </si>
  <si>
    <t>PEÇAS COMPLEMENTARES DE APOIO METÁLICAS</t>
  </si>
  <si>
    <t>92580 MOD</t>
  </si>
  <si>
    <t>Mão de obra, materiais complementares (parafusos) e transporte vertical para instalação de trama de aço para telhado para telha metálica</t>
  </si>
  <si>
    <t>COTAÇÃO 5</t>
  </si>
  <si>
    <t>Tubo industrial metalon quadrado 40 x 40 x 1,25 mm</t>
  </si>
  <si>
    <t>329,52</t>
  </si>
  <si>
    <t>ORSE INSUMO 13118</t>
  </si>
  <si>
    <t>Perfil Aço, UDC Enrijecido 50 x 25 x 2,30(kg/m) - SAE 1008/1012</t>
  </si>
  <si>
    <t>66,61</t>
  </si>
  <si>
    <t>ORSE INSUMO 13120</t>
  </si>
  <si>
    <t>Perfil Aço, UDC Enrijecido 75 x 40 x 3,43(kg/m) - SAE 1008/1012</t>
  </si>
  <si>
    <t>1.728,45</t>
  </si>
  <si>
    <t>ORSE INSUMO 3663</t>
  </si>
  <si>
    <t>Chapa aço fina a quente e=3,00mm, 11MSG, 24,00 kg/m2</t>
  </si>
  <si>
    <t>2,13</t>
  </si>
  <si>
    <t>REVESTIMENTOS DE PISOS</t>
  </si>
  <si>
    <t>04.01.511</t>
  </si>
  <si>
    <t>CIMENTADOS</t>
  </si>
  <si>
    <t>72183U</t>
  </si>
  <si>
    <t>PISO EM CONCRETO 20MPA PREPARO MECANICO, ESPESSURA 7 CM, COM ARMACAO EM TELA SOLDADA</t>
  </si>
  <si>
    <t>241,26</t>
  </si>
  <si>
    <t>98680U</t>
  </si>
  <si>
    <t>PISO CIMENTADO, TRAÇO 1:3 (CIMENTO E AREIA), ACABAMENTO LISO, ESPESSURA 3,0 CM, PREPARO MECÂNICO DA ARGAMASSA. AF_06/2018</t>
  </si>
  <si>
    <t>DE GRANITO</t>
  </si>
  <si>
    <t>98671U</t>
  </si>
  <si>
    <t>PISO EM GRANITO APLICADO EM AMBIENTES INTERNOS. AF_06/2018</t>
  </si>
  <si>
    <t>DE GRANILITE</t>
  </si>
  <si>
    <t>84191U</t>
  </si>
  <si>
    <t>PISO EM GRANILITE, MARMORITE OU GRANITINA ESPESSURA 8 MM, INCLUSO JUNTAS DE DILATACAO PLASTICAS</t>
  </si>
  <si>
    <t>04.01.521</t>
  </si>
  <si>
    <t>VINÍLICOS</t>
  </si>
  <si>
    <t>CPOS 21.02.281</t>
  </si>
  <si>
    <t>Revestimento vinílico flexível em manta homogênea, espessura de 2 mm, com impermeabilizante acrílico</t>
  </si>
  <si>
    <t>1.116,15</t>
  </si>
  <si>
    <t>04.01.528</t>
  </si>
  <si>
    <t>CONTRAPISO E REGULARIZAÇÃO DA BASE</t>
  </si>
  <si>
    <t>87620U</t>
  </si>
  <si>
    <t>CONTRAPISO EM ARGAMASSA TRAÇO 1:4 (CIMENTO E AREIA), PREPARO MECÂNICO COM BETONEIRA 400 L, APLICADO EM ÁREAS SECAS SOBRE LAJE, ADERIDO, ESPESSURA 2CM. AF_06/2014</t>
  </si>
  <si>
    <t>1.140,80</t>
  </si>
  <si>
    <t>87735U</t>
  </si>
  <si>
    <t>CONTRAPISO EM ARGAMASSA TRAÇO 1:4 (CIMENTO E AREIA), PREPARO MECÂNICO COM BETONEIRA 400 L, APLICADO EM ÁREAS MOLHADAS SOBRE LAJE, ADERIDO, ESPESSURA 2CM. AF_06/2014</t>
  </si>
  <si>
    <t>40,15</t>
  </si>
  <si>
    <t>94997U</t>
  </si>
  <si>
    <t>EXECUÇÃO DE PASSEIO (CALÇADA) OU PISO DE CONCRETO COM CONCRETO MOLDADO IN LOCO, USINADO, ACABAMENTO CONVENCIONAL, ESPESSURA 10 CM, ARMADO. AF_07/2016</t>
  </si>
  <si>
    <t>625,73</t>
  </si>
  <si>
    <t>96624U</t>
  </si>
  <si>
    <t>LASTRO COM MATERIAL GRANULAR (PEDRA BRITADA N.2), APLICADO EM PISOS OU RADIERS, ESPESSURA DE *10 CM*. AF_08/2017</t>
  </si>
  <si>
    <t>97083U</t>
  </si>
  <si>
    <t>COMPACTAÇÃO MECÂNICA DE SOLO PARA EXECUÇÃO DE RADIER, COM COMPACTADOR DE SOLOS A PERCUSSÃO. AF_09/2017</t>
  </si>
  <si>
    <t>PISO PODOTÁTIL</t>
  </si>
  <si>
    <t>98670 MOD</t>
  </si>
  <si>
    <t>Piso podotátil em ladrilho hidráulico, aplicado em ambientes internos</t>
  </si>
  <si>
    <t>6,50</t>
  </si>
  <si>
    <t>REVESTIMENTO DE PAREDES</t>
  </si>
  <si>
    <t>04.01.531</t>
  </si>
  <si>
    <t>CHAPISCO</t>
  </si>
  <si>
    <t>87879U</t>
  </si>
  <si>
    <t>CHAPISCO APLICADO EM ALVENARIAS E ESTRUTURAS DE CONCRETO INTERNAS, COM COLHER DE PEDREIRO. ARGAMASSA TRAÇO 1:3 COM PREPARO EM BETONEIRA 400L. AF_06/2014</t>
  </si>
  <si>
    <t>87905U</t>
  </si>
  <si>
    <t>CHAPISCO APLICADO EM ALVENARIA (COM PRESENÇA DE VÃOS) E ESTRUTURAS DE CONCRETO DE FACHADA, COM COLHER DE PEDREIRO. ARGAMASSA TRAÇO 1:3 COM PREPARO EM BETONEIRA 400L. AF_06/2014</t>
  </si>
  <si>
    <t>04.01.532</t>
  </si>
  <si>
    <t>EMBOÇO</t>
  </si>
  <si>
    <t>87531U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</si>
  <si>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</si>
  <si>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>87775U</t>
  </si>
  <si>
    <t>EMBOÇO OU MASSA ÚNICA EM ARGAMASSA TRAÇO 1:2:8, PREPARO MECÂNICO COM BETONEIRA 400 L, APLICADA MANUALMENTE EM PANOS DE FACHADA COM PRESENÇA DE VÃOS, ESPESSURA DE 25 MM. AF_06/2014</t>
  </si>
  <si>
    <t>89173U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</si>
  <si>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</si>
  <si>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04.01.534</t>
  </si>
  <si>
    <t>CERÂMICAS</t>
  </si>
  <si>
    <t>87265U</t>
  </si>
  <si>
    <t>REVESTIMENTO CERÂMICO PARA PAREDES INTERNAS COM PLACAS TIPO ESMALTADA EXTRA DE DIMENSÕES 20X20 CM APLICADAS EM AMBIENTES DE ÁREA MAIOR QUE 5 M² NA ALTURA INTEIRA DAS PAREDES. AF_06/2014</t>
  </si>
  <si>
    <t>87267U</t>
  </si>
  <si>
    <t>REVESTIMENTO CERÂMICO PARA PAREDES INTERNAS COM PLACAS TIPO ESMALTADA EXTRA DE DIMENSÕES 20X20 CM APLICADAS EM AMBIENTES DE ÁREA MAIOR QUE 5 M² A MEIA ALTURA DAS PAREDES. AF_06/2014</t>
  </si>
  <si>
    <t>REVESTIMENTOS DE FORRO</t>
  </si>
  <si>
    <t>GESSO AUTOPORTANTE ACARTONADO</t>
  </si>
  <si>
    <t>96114U</t>
  </si>
  <si>
    <t>FORRO EM DRYWALL, PARA AMBIENTES COMERCIAIS, INCLUSIVE ESTRUTURA DE FIXAÇÃO. AF_05/2017_P</t>
  </si>
  <si>
    <t>GESSO EM PLACAS</t>
  </si>
  <si>
    <t>01.REVE.FORR.022/01 MOD 2</t>
  </si>
  <si>
    <t>FORRO REMOVÍVEL EM PLACAS DE DRYWALL COM PELÍCULA DE PVC, 625X625MM</t>
  </si>
  <si>
    <t>PINTURAS</t>
  </si>
  <si>
    <t>04.01.561</t>
  </si>
  <si>
    <t>MASSA CORRIDA</t>
  </si>
  <si>
    <t>88482U</t>
  </si>
  <si>
    <t>APLICAÇÃO DE FUNDO SELADOR LÁTEX PVA EM TETO, UMA DEMÃO. AF_06/2014</t>
  </si>
  <si>
    <t>88485U</t>
  </si>
  <si>
    <t>APLICAÇÃO DE FUNDO SELADOR ACRÍLICO EM PAREDES, UMA DEMÃO. AF_06/2014</t>
  </si>
  <si>
    <t>88494U</t>
  </si>
  <si>
    <t>APLICAÇÃO E LIXAMENTO DE MASSA LÁTEX EM TETO, UMA DEMÃO. AF_06/2014</t>
  </si>
  <si>
    <t>88495U</t>
  </si>
  <si>
    <t>APLICAÇÃO E LIXAMENTO DE MASSA LÁTEX EM PAREDES, UMA DEMÃO. AF_06/2014</t>
  </si>
  <si>
    <t>88497U</t>
  </si>
  <si>
    <t>APLICAÇÃO E LIXAMENTO DE MASSA LÁTEX EM PAREDES, DUAS DEMÃOS. AF_06/2014</t>
  </si>
  <si>
    <t>COM TINTA A BASE DE ESMALTE</t>
  </si>
  <si>
    <t>100760U</t>
  </si>
  <si>
    <t>PINTURA COM TINTA ALQUÍDICA DE ACABAMENTO (ESMALTE SINTÉTICO BRILHANTE) APLICADA A ROLO OU PINCEL SOBRE SUPERFÍCIES METÁLICAS (EXCETO PERFIL) EXECUTADO EM OBRA (02 DEMÃOS). AF_01/2020</t>
  </si>
  <si>
    <t>COM TINTA A BASE DE SILICONE</t>
  </si>
  <si>
    <t>73978/1U</t>
  </si>
  <si>
    <t>COM TINTA A BASE DE LÁTEX</t>
  </si>
  <si>
    <t>88486U</t>
  </si>
  <si>
    <t>APLICAÇÃO MANUAL DE PINTURA COM TINTA LÁTEX PVA EM TETO, DUAS DEMÃOS. AF_06/2014</t>
  </si>
  <si>
    <t>COM TINTA EPÓXI</t>
  </si>
  <si>
    <t>ORSE 4651</t>
  </si>
  <si>
    <t>04.01.569</t>
  </si>
  <si>
    <t>COM TINTA ACRÍLICA</t>
  </si>
  <si>
    <t>88489 MOD</t>
  </si>
  <si>
    <t>APLICAÇÃO MANUAL DE PINTURA COM TINTA LÁTEX ACRÍLICA EM PAREDES, TRÊS DEMÃOS</t>
  </si>
  <si>
    <t>88489U</t>
  </si>
  <si>
    <t>APLICAÇÃO MANUAL DE PINTURA COM TINTA LÁTEX ACRÍLICA EM PAREDES, DUAS DEMÃOS. AF_06/2014</t>
  </si>
  <si>
    <t>VERNIZES</t>
  </si>
  <si>
    <t>2.047,66</t>
  </si>
  <si>
    <t>ORSE 4934</t>
  </si>
  <si>
    <t>IMPERMEABILIZAÇÕES</t>
  </si>
  <si>
    <t>04.01.602</t>
  </si>
  <si>
    <t>ARGAMASSA COM ADIÇÃO DE HIDRÓFUGO</t>
  </si>
  <si>
    <t>98555U</t>
  </si>
  <si>
    <t>IMPERMEABILIZAÇÃO DE SUPERFÍCIE COM ARGAMASSA POLIMÉRICA / MEMBRANA ACRÍLICA, 3 DEMÃOS. AF_06/2018</t>
  </si>
  <si>
    <t>04.01.604</t>
  </si>
  <si>
    <t>ELASTÔMEROS SINTÉTICOS EM SOLUÇÃO</t>
  </si>
  <si>
    <t>98552 MOD</t>
  </si>
  <si>
    <t>IMPERMEABILIZAÇÃO DE SUPERFÍCIE COM MEMBRANA À BASE DE POLIURÉIA, 2 DEMÃOS.</t>
  </si>
  <si>
    <t>ACABAMENTOS E ARREMATES</t>
  </si>
  <si>
    <t>04.01.701</t>
  </si>
  <si>
    <t>RODAPÉS</t>
  </si>
  <si>
    <t>98685U</t>
  </si>
  <si>
    <t>CPOS 21.10.071 MOD</t>
  </si>
  <si>
    <t>Rodapé flexível para piso vinílico, em PVC, com espessura de 2mm e altura de 7,5cm</t>
  </si>
  <si>
    <t>04.01.702</t>
  </si>
  <si>
    <t>SOLEIRAS</t>
  </si>
  <si>
    <t>98689U</t>
  </si>
  <si>
    <t>SOLEIRA EM GRANITO, LARGURA 15 CM, ESPESSURA 2,0 CM. AF_06/2018</t>
  </si>
  <si>
    <t>5,58</t>
  </si>
  <si>
    <t>PEITORIS</t>
  </si>
  <si>
    <t>CPOS 19.01.062</t>
  </si>
  <si>
    <t>Peitoril em granito, espessura de 2cm e largura até 20cm, acabamento polido</t>
  </si>
  <si>
    <t>CANTONEIRAS</t>
  </si>
  <si>
    <t>ORSE 9716</t>
  </si>
  <si>
    <t>Cantoneira aluminio 1" x 1" para arremates em revestimentos cerâmicos</t>
  </si>
  <si>
    <t>04.01.706</t>
  </si>
  <si>
    <t>RUFOS</t>
  </si>
  <si>
    <t>94231U</t>
  </si>
  <si>
    <t>RUFO EM CHAPA DE AÇO GALVANIZADO NÚMERO 24, CORTE DE 25 CM, INCLUSO TRANSPORTE VERTICAL. AF_07/2019</t>
  </si>
  <si>
    <t>84,12</t>
  </si>
  <si>
    <t>SCO-RJ CI 04.40.0250</t>
  </si>
  <si>
    <t>Cumeeira em alumínio com acabamento em verniz em 1 face e pintada em outra, trapezoidal ou ondulada, fornecimento e colocação</t>
  </si>
  <si>
    <t>33,14</t>
  </si>
  <si>
    <t>ACABAMENTOS PARA FORRO</t>
  </si>
  <si>
    <t>96121U</t>
  </si>
  <si>
    <t>983,52</t>
  </si>
  <si>
    <t>EQUIPAMENTOS E ACESSÓRIOS</t>
  </si>
  <si>
    <t>04.01.801</t>
  </si>
  <si>
    <t>CORRIMÃO</t>
  </si>
  <si>
    <t>01.ESQV.CORR.022/01 MOD</t>
  </si>
  <si>
    <t>Corrimão duplo em aço galvanizado, fixado em parede ou em guarda-corpo, inclusive pintura</t>
  </si>
  <si>
    <t>42,00</t>
  </si>
  <si>
    <t>04.01.802</t>
  </si>
  <si>
    <t>BRISES</t>
  </si>
  <si>
    <t>COTAÇÃO 6</t>
  </si>
  <si>
    <t>Fornecimento de brise de alumínio,cor bege duna (ref. R85c), modelo colmeia, mal de 100mm, fabricante Refax ou similar</t>
  </si>
  <si>
    <t>COTAÇÃO 7</t>
  </si>
  <si>
    <t>Fornecimento de brise de alumínio, cor branca, modelo linear LC 100 60º, fabricante Refax ou similar</t>
  </si>
  <si>
    <t>SBC 112690 MOD</t>
  </si>
  <si>
    <t>Mão de obra para instalação de brise metálico em fachada</t>
  </si>
  <si>
    <t>04.01.803</t>
  </si>
  <si>
    <t>GUARDA-CORPO</t>
  </si>
  <si>
    <t>99841 MOD 1</t>
  </si>
  <si>
    <t>Guarda-corpo reto com fechamento em tela quadriculada ondulada, montantes em barras chatas de aço galvanizado, exceto corrimãos, inclusive pintura, conforme projeto (GC1, GC6, GC7, GC8, GC9 e Patamar Escada 2)</t>
  </si>
  <si>
    <t>99841 MOD 2</t>
  </si>
  <si>
    <t>Guarda-corpo com trechos inclinado e reto, com fechamento em tela quadriculada ondulada, montantes em barras chatas de aço galvanizado, exceto corrimãos, inclusive pintura, conforme projeto (GC2 e GC5)</t>
  </si>
  <si>
    <t>99841 MOD 3</t>
  </si>
  <si>
    <t>Guarda-corpo inclinado com fechamento em tela quadriculada ondulada, montantes em barras chatas de aço galvanizado, exceto corrimãos, inclusive pintura, conforme projeto (GC3 e GC4)</t>
  </si>
  <si>
    <t>04.01.804</t>
  </si>
  <si>
    <t>ALÇAPÕES</t>
  </si>
  <si>
    <t>CPOS 24.03.100</t>
  </si>
  <si>
    <t>Alçapão/tampa em chapa de ferro com porta cadeado</t>
  </si>
  <si>
    <t>0,60</t>
  </si>
  <si>
    <t>04.01.808</t>
  </si>
  <si>
    <t>BANCADAS</t>
  </si>
  <si>
    <t>COMP. MONTADA 27</t>
  </si>
  <si>
    <t>COMP. MONTADA 28</t>
  </si>
  <si>
    <t>COMP. MONTADA 29</t>
  </si>
  <si>
    <t>COMP. MONTADA 30</t>
  </si>
  <si>
    <t>COMP. MONTADA 31</t>
  </si>
  <si>
    <t>COMP. MONTADA 32</t>
  </si>
  <si>
    <t>COMP. MONTADA 33</t>
  </si>
  <si>
    <t>COMP. MONTADA 34</t>
  </si>
  <si>
    <t>COMP. MONTADA 35</t>
  </si>
  <si>
    <t>LOUÇAS E METAIS DE SANITÁRIOS</t>
  </si>
  <si>
    <t>100858U</t>
  </si>
  <si>
    <t>MICTÓRIO SIFONADO LOUÇA BRANCA ? PADRÃO MÉDIO ? FORNECIMENTO E INSTALAÇÃO. AF_01/2020</t>
  </si>
  <si>
    <t>86877U</t>
  </si>
  <si>
    <t>VÁLVULA EM METAL CROMADO 1.1/2? X 1.1/2? PARA TANQUE OU LAVATÓRIO, COM OU SEM LADRÃO - FORNECIMENTO E INSTALAÇÃO. AF_01/2020</t>
  </si>
  <si>
    <t>86881U</t>
  </si>
  <si>
    <t>SIFÃO DO TIPO GARRAFA EM METAL CROMADO 1 X 1.1/2? - FORNECIMENTO E INSTALAÇÃO. AF_01/2020</t>
  </si>
  <si>
    <t>86886U</t>
  </si>
  <si>
    <t>ENGATE FLEXÍVEL EM INOX, 1/2 X 30CM - FORNECIMENTO E INSTALAÇÃO. AF_01/2020</t>
  </si>
  <si>
    <t>86901U</t>
  </si>
  <si>
    <t>CUBA DE EMBUTIR OVAL EM LOUÇA BRANCA, 35 X 50CM OU EQUIVALENTE - FORNECIMENTO E INSTALAÇÃO. AF_01/2020</t>
  </si>
  <si>
    <t>86903U</t>
  </si>
  <si>
    <t>LAVATÓRIO LOUÇA BRANCA COM COLUNA, 45 X 55CM OU EQUIVALENTE, PADRÃO MÉDIO - FORNECIMENTO E INSTALAÇÃO. AF_01/2020</t>
  </si>
  <si>
    <t>86914U</t>
  </si>
  <si>
    <t>TORNEIRA CROMADA 1/2? OU 3/4? PARA TANQUE, PADRÃO MÉDIO - FORNECIMENTO E INSTALAÇÃO. AF_01/2020</t>
  </si>
  <si>
    <t>95470U</t>
  </si>
  <si>
    <t>VASO SANITARIO SIFONADO CONVENCIONAL COM LOUÇA BRANCA, INCLUSO CONJUNTO DE LIGAÇÃO PARA BACIA SANITÁRIA AJUSTÁVEL - FORNECIMENTO E INSTALAÇÃO. AF_10/2016</t>
  </si>
  <si>
    <t>95472U</t>
  </si>
  <si>
    <t>VASO SANITARIO SIFONADO CONVENCIONAL PARA PCD SEM FURO FRONTAL COM LOUÇA BRANCA SEM ASSENTO, INCLUSO CONJUNTO DE LIGAÇÃO PARA BACIA SANITÁRIA AJUSTÁVEL - FORNECIMENTO E INSTALAÇÃO. AF_01/2020</t>
  </si>
  <si>
    <t>CPOS 43.03.720</t>
  </si>
  <si>
    <t>Torneira de mesa para lavatório, acionamento hidromecânico com alavanca, registro integrado regulador de vazão, em latão cromado</t>
  </si>
  <si>
    <t>ORSE 3692</t>
  </si>
  <si>
    <t>Torneira cromada para lavatório, DECA 1170C (Decamatic) ou similar</t>
  </si>
  <si>
    <t>ACESSÓRIOS DE SANITÁRIOS</t>
  </si>
  <si>
    <t>100849 MOD</t>
  </si>
  <si>
    <t>ASSENTO SANITÁRIO PARA PCD - FORNECIMENTO E INSTALACAO</t>
  </si>
  <si>
    <t>100849U</t>
  </si>
  <si>
    <t>ASSENTO SANITÁRIO CONVENCIONAL - FORNECIMENTO E INSTALACAO. AF_01/2020</t>
  </si>
  <si>
    <t>100867U</t>
  </si>
  <si>
    <t>BARRA DE APOIO RETA, EM ACO INOX POLIDO, COMPRIMENTO 70 CM, FIXADA NA PAREDE - FORNECIMENTO E INSTALAÇÃO. AF_01/2020</t>
  </si>
  <si>
    <t>100868U</t>
  </si>
  <si>
    <t>BARRA DE APOIO RETA, EM ACO INOX POLIDO, COMPRIMENTO 80 CM, FIXADA NA PAREDE - FORNECIMENTO E INSTALAÇÃO. AF_01/2020</t>
  </si>
  <si>
    <t>95547U</t>
  </si>
  <si>
    <t>SABONETEIRA PLASTICA TIPO DISPENSER PARA SABONETE LIQUIDO COM RESERVATORIO 800 A 1500 ML, INCLUSO FIXAÇÃO. AF_01/2020</t>
  </si>
  <si>
    <t>ORSE 12128</t>
  </si>
  <si>
    <t>Barra de apoio, para lavatório,fixa, constituida de duas barras laterais em "U", em aço inox, d=1 1/4", Jackwal ou similar</t>
  </si>
  <si>
    <t>CJ</t>
  </si>
  <si>
    <t>ORSE 12208</t>
  </si>
  <si>
    <t>Porta papel toalha para papel interfolha 2 ou 3 dobras, injetado com a frente em plástico ABS branco, com visor frontal para controle de substituição do papel interfolha e fundo em Plástico ABS cinza.</t>
  </si>
  <si>
    <t>ORSE 12511</t>
  </si>
  <si>
    <t>Dispenser, em plástico, para papel higiênico em rolo</t>
  </si>
  <si>
    <t>ORSE 2037</t>
  </si>
  <si>
    <t>Cabide de louça, DECA A680, branco ou similar</t>
  </si>
  <si>
    <t>DE LABORATÓRIOS</t>
  </si>
  <si>
    <t>ORSE 7227 MOD</t>
  </si>
  <si>
    <t>Cuba de aço inox, dimensões 60 x 50cm, para instalação em bancada, c/ válvula cromada</t>
  </si>
  <si>
    <t>5,00</t>
  </si>
  <si>
    <t>ORSE 9700</t>
  </si>
  <si>
    <t>Torneira cromada de mesa, bica móvel, para pia de cozinha, ref.1167 C50, modelo Prata, Deca ou similar</t>
  </si>
  <si>
    <t>ORSE 9702</t>
  </si>
  <si>
    <t>Torneira cromada de parede, bica móvel, para pia de cozinha, ref.1168 C50, modelo Prata, Deca ou similar</t>
  </si>
  <si>
    <t>9,00</t>
  </si>
  <si>
    <t>PLACAS ADESIVAS</t>
  </si>
  <si>
    <t>PLACA DE SINALIZACAO DE SEGURANCA CONTRA INCENDIO, FOTOLUMINESCENTE, RETANGULAR, *13 X 26* CM, EM PVC *2* MM ANTI-CHAMAS (SIMBOLOS, CORES E PICTOGRAMAS CONFORME NBR 13434)</t>
  </si>
  <si>
    <t>36,00</t>
  </si>
  <si>
    <t>PLACA DE SINALIZACAO DE SEGURANCA CONTRA INCENDIO, FOTOLUMINESCENTE, QUADRADA, *20 X 20* CM, EM PVC *2* MM ANTI-CHAMAS (SIMBOLOS, CORES E PICTOGRAMAS CONFORME NBR 13434)</t>
  </si>
  <si>
    <t>21,00</t>
  </si>
  <si>
    <t>PLACA DE SINALIZACAO DE SEGURANCA CONTRA INCENDIO, FOTOLUMINESCENTE, QUADRADA, *14 X 14* CM, EM PVC *2* MM ANTI-CHAMAS (SIMBOLOS, CORES E PICTOGRAMAS CONFORME NBR 13434)</t>
  </si>
  <si>
    <t>PLACA DE SINALIZACAO DE SEGURANCA CONTRA INCENDIO, FOTOLUMINESCENTE, RETANGULAR, *12 X 40* CM, EM PVC *2* MM ANTI-CHAMAS (SIMBOLOS, CORES E PICTOGRAMAS CONFORME NBR 13434)</t>
  </si>
  <si>
    <t>ORSE 11621</t>
  </si>
  <si>
    <t>Fita auto adesiva fotoluminescente "9m" l=2,5cm ou similar</t>
  </si>
  <si>
    <t>6,72</t>
  </si>
  <si>
    <t>ORSE INSUMO 9475</t>
  </si>
  <si>
    <t>Adesivo indicativo de saída de fluxo de fuga, impresso no sistema digital refletivo</t>
  </si>
  <si>
    <t>0,18</t>
  </si>
  <si>
    <t>SBC 202338</t>
  </si>
  <si>
    <t>PLACA TATIL BRAILLE/RELEVO ACO INOX 10x3cm CORRIMAO</t>
  </si>
  <si>
    <t>16,00</t>
  </si>
  <si>
    <t>04.04.000</t>
  </si>
  <si>
    <t>PAISAGISMO</t>
  </si>
  <si>
    <t>04.04.300</t>
  </si>
  <si>
    <t>VEGETAÇÃO</t>
  </si>
  <si>
    <t>98504 MOD</t>
  </si>
  <si>
    <t>Plantio de grama esmeralda em placas</t>
  </si>
  <si>
    <t>909,50</t>
  </si>
  <si>
    <t>ORIGEM DO QUANTITATIVO</t>
  </si>
  <si>
    <t>OK</t>
  </si>
  <si>
    <t>Estimado em 1,20x o volume de concreto das vigas baldrame</t>
  </si>
  <si>
    <t>Prancha FOR-EX-10124,71</t>
  </si>
  <si>
    <t>Quantidade total de drywall</t>
  </si>
  <si>
    <t>Referência do memorial de cálculos do REVIT</t>
  </si>
  <si>
    <t>Área de projeção do telhado</t>
  </si>
  <si>
    <t>Memorial detalhado de revestimento de pisos</t>
  </si>
  <si>
    <t>Recomposição</t>
  </si>
  <si>
    <t>Memorial detalhado de revestimento de paredes + Memorial de cálculos (cobertura)</t>
  </si>
  <si>
    <t>Memorial detalhado de revestimento de paredes</t>
  </si>
  <si>
    <t>Memorial detalhado de revestimento de paredes + Memorial de cálculos (parede com cerâmica até meia-altura)</t>
  </si>
  <si>
    <t>Mesmo quant. do forro autoportante acartonado</t>
  </si>
  <si>
    <t>PINTURA HIDROFUGANTE COM SILICONE SOBRE PEÇAS DE GRANITO, UMA DEMAO</t>
  </si>
  <si>
    <t>Mesma área de fôrmas das bancadas de concreto</t>
  </si>
  <si>
    <t>Pintura de acabamento com aplicação de 02 demãos de tinta à base de resina epóxi sobre bancadas de concreto</t>
  </si>
  <si>
    <t>APLICAÇÃO DE FUNDO SELADOR ACRÍLICO EM ESTRUTURAS DE CONCRETO APARENTE, UMA DEMÃO</t>
  </si>
  <si>
    <t>Pintura de acabamento com aplicação de 01 demão de verniz acrílico em estruturas de concreto aparente</t>
  </si>
  <si>
    <t>Mesmo quant. do selador sobre concreto aparente</t>
  </si>
  <si>
    <t>Área descoberta da cobertura (medida em planta)</t>
  </si>
  <si>
    <t>ACABAMENTOS PARA FORRO (TABICA)</t>
  </si>
  <si>
    <t>Total de brises</t>
  </si>
  <si>
    <t>Caderno de especificações: 70x85cm</t>
  </si>
  <si>
    <t>Mesma quantidade de lavatórios para banheiro PCD</t>
  </si>
  <si>
    <t>Mesma quantidade de lavatórios convencionais</t>
  </si>
  <si>
    <t>Mesma quantidade de bacias convencionais</t>
  </si>
  <si>
    <t>1 conjunto em cada sanitário PCD</t>
  </si>
  <si>
    <t>Em todas as bancadas de laboratório com pia</t>
  </si>
  <si>
    <t>Nas bancadas de concreto para laboratório</t>
  </si>
  <si>
    <t>Conforme prancha PE-AR 01/22</t>
  </si>
  <si>
    <t>Placas 12, 13, 16 e 17A</t>
  </si>
  <si>
    <t>Placas 23 e 25</t>
  </si>
  <si>
    <t>Placas 19A e 4</t>
  </si>
  <si>
    <t xml:space="preserve">Placas 17b, 17c, 17e e 17f </t>
  </si>
  <si>
    <t>13 unidades 20x7cm</t>
  </si>
  <si>
    <t>02.01.000</t>
  </si>
  <si>
    <t>CANTEIRO DE OBRAS</t>
  </si>
  <si>
    <t>02.01.100</t>
  </si>
  <si>
    <t>CONSTRUÇÕES PROVISÓRIAS</t>
  </si>
  <si>
    <t>02.01.101</t>
  </si>
  <si>
    <t>ESCRITÓRIOS</t>
  </si>
  <si>
    <t>LOCACAO DE CONTAINER 2,30 X 6,00 M, ALT. 2,50 M, COM 1 SANITARIO, PARA ESCRITORIO, COMPLETO, SEM DIVISORIAS INTERNAS</t>
  </si>
  <si>
    <t>MÊS</t>
  </si>
  <si>
    <t>18,00</t>
  </si>
  <si>
    <t>02.01.102</t>
  </si>
  <si>
    <t>DEPÓSITOS</t>
  </si>
  <si>
    <t>93584U</t>
  </si>
  <si>
    <t>EXECUÇÃO DE DEPÓSITO EM CANTEIRO DE OBRA EM CHAPA DE MADEIRA COMPENSADA, NÃO INCLUSO MOBILIÁRIO. AF_04/2016</t>
  </si>
  <si>
    <t>28,80</t>
  </si>
  <si>
    <t>02.01.104</t>
  </si>
  <si>
    <t>REFEITÓRIOS</t>
  </si>
  <si>
    <t>93210U</t>
  </si>
  <si>
    <t>EXECUÇÃO DE REFEITÓRIO EM CANTEIRO DE OBRA EM CHAPA DE MADEIRA COMPENSADA, NÃO INCLUSO MOBILIÁRIO E EQUIPAMENTOS. AF_02/2016</t>
  </si>
  <si>
    <t>38,40</t>
  </si>
  <si>
    <t>02.01.105</t>
  </si>
  <si>
    <t>VESTIÁRIOS E SANITÁRIOS</t>
  </si>
  <si>
    <t>93212U</t>
  </si>
  <si>
    <t>EXECUÇÃO DE SANITÁRIO E VESTIÁRIO EM CANTEIRO DE OBRA EM CHAPA DE MADEIRA COMPENSADA, NÃO INCLUSO MOBILIÁRIO. AF_02/2016</t>
  </si>
  <si>
    <t>21,22</t>
  </si>
  <si>
    <t>02.01.200</t>
  </si>
  <si>
    <t>LIGAÇÕES PROVISÓRIAS</t>
  </si>
  <si>
    <t>02.01.201</t>
  </si>
  <si>
    <t>ÁGUA</t>
  </si>
  <si>
    <t>89357U</t>
  </si>
  <si>
    <t>TUBO, PVC, SOLDÁVEL, DN 32MM, INSTALADO EM RAMAL OU SUB-RAMAL DE ÁGUA - FORNECIMENTO E INSTALAÇÃO. AF_12/2014</t>
  </si>
  <si>
    <t>117,34</t>
  </si>
  <si>
    <t>93214U</t>
  </si>
  <si>
    <t>EXECUÇÃO DE RESERVATÓRIO ELEVADO DE ÁGUA (1000 LITROS) EM CANTEIRO DE OBRA, APOIADO EM ESTRUTURA DE MADEIRA. AF_02/2016</t>
  </si>
  <si>
    <t>02.01.202</t>
  </si>
  <si>
    <t>ENERGIA ELÉTRICA</t>
  </si>
  <si>
    <t>91846U</t>
  </si>
  <si>
    <t>ELETRODUTO FLEXÍVEL CORRUGADO, PVC, DN 32 MM (1"), PARA CIRCUITOS TERMINAIS, INSTALADO EM LAJE - FORNECIMENTO E INSTALAÇÃO. AF_12/2015</t>
  </si>
  <si>
    <t>75,60</t>
  </si>
  <si>
    <t>93670U</t>
  </si>
  <si>
    <t>DISJUNTOR TRIPOLAR TIPO DIN, CORRENTE NOMINAL DE 25A - FORNECIMENTO E INSTALAÇÃO. AF_04/2016</t>
  </si>
  <si>
    <t>ORSE INSUMO 3314</t>
  </si>
  <si>
    <t>Cabo de cobre PP Cordplast 5 x 4.0 mm2, 450/750v</t>
  </si>
  <si>
    <t>02.01.205</t>
  </si>
  <si>
    <t>ESGOTO</t>
  </si>
  <si>
    <t>89848U</t>
  </si>
  <si>
    <t>TUBO PVC, SERIE NORMAL, ESGOTO PREDIAL, DN 100 MM, FORNECIDO E INSTALADO EM SUBCOLETOR AÉREO DE ESGOTO SANITÁRIO. AF_12/2014</t>
  </si>
  <si>
    <t>32,90</t>
  </si>
  <si>
    <t>02.01.400</t>
  </si>
  <si>
    <t>PROTEÇÃO E SINALIZAÇÃO</t>
  </si>
  <si>
    <t>02.01.401</t>
  </si>
  <si>
    <t>TAPUMES</t>
  </si>
  <si>
    <t>98459 MOD</t>
  </si>
  <si>
    <t>Tapume com telha metálica, inclusive portão de pedestres, h=2,12m (2,02 de altura de fechamento + 10cm de espaçamento do chão)</t>
  </si>
  <si>
    <t>260,00</t>
  </si>
  <si>
    <t>02.01.404</t>
  </si>
  <si>
    <t>PLACAS</t>
  </si>
  <si>
    <t>ORSE 51</t>
  </si>
  <si>
    <t>Placa de obra em chapa aço galvanizado, instalada</t>
  </si>
  <si>
    <t>18,65</t>
  </si>
  <si>
    <t>02.01.405</t>
  </si>
  <si>
    <t>PORTÕES</t>
  </si>
  <si>
    <t>ORSE 12759 MOD</t>
  </si>
  <si>
    <t>Portão metálico para tapume, fechamento em telha metálica, comprimento 4,12m</t>
  </si>
  <si>
    <t>DEMOLIÇÃO</t>
  </si>
  <si>
    <t>DEMOLIÇÃO CONVENCIONAL</t>
  </si>
  <si>
    <t>02.02.111</t>
  </si>
  <si>
    <t>CONCRETO SIMPLES</t>
  </si>
  <si>
    <t>97628U</t>
  </si>
  <si>
    <t>02.02.140</t>
  </si>
  <si>
    <t>VEDAÇÕES</t>
  </si>
  <si>
    <t>97622U</t>
  </si>
  <si>
    <t>DEMOLIÇÃO DE ALVENARIA DE BLOCO FURADO, DE FORMA MANUAL, SEM REAPROVEITAMENTO. AF_12/2017</t>
  </si>
  <si>
    <t>97624U</t>
  </si>
  <si>
    <t>02.02.150</t>
  </si>
  <si>
    <t>PISOS</t>
  </si>
  <si>
    <t>ORSE 3240</t>
  </si>
  <si>
    <t>273,49</t>
  </si>
  <si>
    <t>REMOÇÕES</t>
  </si>
  <si>
    <t>97637U</t>
  </si>
  <si>
    <t>REMOÇÃO DE TAPUME/ CHAPAS METÁLICAS E DE MADEIRA, DE FORMA MANUAL, SEM REAPROVEITAMENTO. AF_12/2017</t>
  </si>
  <si>
    <t>97644U</t>
  </si>
  <si>
    <t>REMOÇÃO DE PORTAS, DE FORMA MANUAL, SEM REAPROVEITAMENTO. AF_12/2017</t>
  </si>
  <si>
    <t>2,84</t>
  </si>
  <si>
    <t>02.02.310</t>
  </si>
  <si>
    <t>REMOÇÃO DE EQUIPAMENTOS E ACESSÓRIOS</t>
  </si>
  <si>
    <t>ORSE 11102</t>
  </si>
  <si>
    <t>Retirada de exaustor industrial eólico</t>
  </si>
  <si>
    <t>CARGA, TRANSPORTE, DESCARGA E ESPALHAMENTO DE MATERIAIS PROVENIENTES DE DEMOLIÇÃO</t>
  </si>
  <si>
    <t>SCO-RJ TC 04.15.0100</t>
  </si>
  <si>
    <t>Retirada de entulho de obra em caçamba de aço com 5m³ de capacidade, inclusive carregamento do container, transporte e descarga</t>
  </si>
  <si>
    <t>TERRAPLENAGEM</t>
  </si>
  <si>
    <t>LIMPEZA E PREPARO DE ÁREA</t>
  </si>
  <si>
    <t>02.04.101</t>
  </si>
  <si>
    <t>CAPINA E ROÇADO</t>
  </si>
  <si>
    <t>98524U</t>
  </si>
  <si>
    <t>LIMPEZA MANUAL DE VEGETAÇÃO EM TERRENO COM ENXADA.AF_05/2018</t>
  </si>
  <si>
    <t>1.066,35</t>
  </si>
  <si>
    <t>98525U</t>
  </si>
  <si>
    <t>LIMPEZA MECANIZADA DE CAMADA VEGETAL, VEGETAÇÃO E PEQUENAS ÁRVORES (DIÂMETRO DE TRONCO MENOR QUE 0,20 M), COM TRATOR DE ESTEIRAS.AF_05/2018</t>
  </si>
  <si>
    <t>02.04.102</t>
  </si>
  <si>
    <t>DESTOCAMENTO DE ÁRVORES</t>
  </si>
  <si>
    <t>98526U</t>
  </si>
  <si>
    <t>REMOÇÃO DE RAÍZES REMANESCENTES DE TRONCO DE ÁRVORE COM DIÂMETRO MAIOR OU IGUAL A 0,20 M E MENOR QUE 0,40 M.AF_05/2018</t>
  </si>
  <si>
    <t>98529U</t>
  </si>
  <si>
    <t>CORTE RASO E RECORTE DE ÁRVORE COM DIÂMETRO DE TRONCO MAIOR OU IGUAL A 0,20 M E MENOR QUE 0,40 M.AF_05/2018</t>
  </si>
  <si>
    <t>CORTES</t>
  </si>
  <si>
    <t>02.04.201</t>
  </si>
  <si>
    <t>EM MATERIAL DE 1ª CATEGORIA</t>
  </si>
  <si>
    <t>83336U</t>
  </si>
  <si>
    <t>ESCAVACAO MECANICA PARA ACERTO DE TALUDES, EM MATERIAL DE 1A CATEGORIA, COM ESCAVADEIRA HIDRAULICA</t>
  </si>
  <si>
    <t>440,54</t>
  </si>
  <si>
    <t>TRANSPORTE, LANÇAMENTO E ESPALHAMENTO DE MATERIAL ESCAVADO</t>
  </si>
  <si>
    <t>100977U</t>
  </si>
  <si>
    <t>CARGA, MANOBRA E DESCARGA DE SOLOS E MATERIAIS GRANULARES EM CAMINHÃO BASCULANTE 6 M³ - CARGA COM ESCAVADEIRA HIDRÁULICA (CAÇAMBA DE 1,20 M³ / 155 HP) E DESCARGA LIVRE (UNIDADE: M3). AF_07/2020</t>
  </si>
  <si>
    <t>97914U</t>
  </si>
  <si>
    <t>TRANSPORTE COM CAMINHÃO BASCULANTE DE 6 M3, EM VIA URBANA PAVIMENTADA, DMT ATÉ 30 KM (UNIDADE: M3XKM). AF_01/2018</t>
  </si>
  <si>
    <t>M3XKM</t>
  </si>
  <si>
    <t>4.235,25</t>
  </si>
  <si>
    <t>CFF</t>
  </si>
  <si>
    <t>Prancha PE-CAN 02/02</t>
  </si>
  <si>
    <t>Quantitativo encaminhado pelo Eng. Guilherme via MS Teams</t>
  </si>
  <si>
    <t>Quantitativo encaminhado pelo Eng. João Paulo via MS Teams</t>
  </si>
  <si>
    <t>Prancha PE-CAN 01/02</t>
  </si>
  <si>
    <t>DEMOLIÇÃO DA BANCADA DE CONCRETO NO BLOCO EXISTENTE</t>
  </si>
  <si>
    <t>DEMOLIÇÃO DE PISO ELEVADO NO BLOCO EXISTENTE</t>
  </si>
  <si>
    <t>Dimensões 1,35 x 2,10m</t>
  </si>
  <si>
    <t>Conforme prancha PE-AR 02/22</t>
  </si>
  <si>
    <t>Prancha AR-PE 01/22</t>
  </si>
  <si>
    <t>Tabela do Projeto Executivo de Terraplanagem</t>
  </si>
  <si>
    <t>DMT estimado em 5 km conforme Caderno de Especificações</t>
  </si>
  <si>
    <t>09.02.000</t>
  </si>
  <si>
    <t>LIMPEZA DE OBRAS</t>
  </si>
  <si>
    <t>ORSE 2450</t>
  </si>
  <si>
    <t>Limpeza geral</t>
  </si>
  <si>
    <t>1.819,00</t>
  </si>
  <si>
    <t>09.03.000</t>
  </si>
  <si>
    <t>LIGAÇÕES DEFINITIVAS</t>
  </si>
  <si>
    <t>COTAÇÃO 10</t>
  </si>
  <si>
    <t>Ligação definitiva conforme tabela da CAESB</t>
  </si>
  <si>
    <t>09.04.000</t>
  </si>
  <si>
    <t>COMO CONSTRUÍDO (AS BUILT)</t>
  </si>
  <si>
    <t>ORSE 10832 MOD 1</t>
  </si>
  <si>
    <t>Projeto As-Built de Arquitetura (Edifício Principal)</t>
  </si>
  <si>
    <t>1.666,00</t>
  </si>
  <si>
    <t>ORSE 10832 MOD 10</t>
  </si>
  <si>
    <t>Projeto As-Built de PCI (Edifício Principal)</t>
  </si>
  <si>
    <t>ORSE 10832 MOD 11</t>
  </si>
  <si>
    <t>Projeto As-Built de Arquitetura (Subestação)</t>
  </si>
  <si>
    <t>153,00</t>
  </si>
  <si>
    <t>ORSE 10832 MOD 12</t>
  </si>
  <si>
    <t>Projeto As-Built de Estruturas (Subestação)</t>
  </si>
  <si>
    <t>ORSE 10832 MOD 13</t>
  </si>
  <si>
    <t>Projeto As-Built de Instalações Elétricas (Subestação)</t>
  </si>
  <si>
    <t>ORSE 10832 MOD 2</t>
  </si>
  <si>
    <t>Projeto As-Built de Estruturas (Edifício Principal)</t>
  </si>
  <si>
    <t>ORSE 10832 MOD 3</t>
  </si>
  <si>
    <t>Projeto As-Built de Água Fria (Edifício Principal)</t>
  </si>
  <si>
    <t>ORSE 10832 MOD 4</t>
  </si>
  <si>
    <t>Projeto As-Built de Esgoto (Edifício Principal)</t>
  </si>
  <si>
    <t>ORSE 10832 MOD 5</t>
  </si>
  <si>
    <t>Projeto As-Built de Águas Pluviais (Edifício Principal)</t>
  </si>
  <si>
    <t>ORSE 10832 MOD 6</t>
  </si>
  <si>
    <t>Projeto As-Built de Ar-condicionado (Edifício Principal)</t>
  </si>
  <si>
    <t>ORSE 10832 MOD 7</t>
  </si>
  <si>
    <t>Projeto As-Built de Cabeamento Estruturado (Edifício Principal)</t>
  </si>
  <si>
    <t>ORSE 10832 MOD 8</t>
  </si>
  <si>
    <t>Projeto As-Built de Instalações Elétricas (Edifício Principal)</t>
  </si>
  <si>
    <t>ORSE 10832 MOD 9</t>
  </si>
  <si>
    <t>Projeto As-Built de SPDA (Edifício Principal)</t>
  </si>
  <si>
    <t>10.00.000</t>
  </si>
  <si>
    <t>SERVIÇOS AUXILIARES E ADMINISTRATIVOS</t>
  </si>
  <si>
    <t>10.01.000</t>
  </si>
  <si>
    <t>PESSOAL</t>
  </si>
  <si>
    <t>ENGENHEIRO ELETRICISTA COM ENCARGOS COMPLEMENTARES</t>
  </si>
  <si>
    <t>VIGIA NOTURNO COM ENCARGOS COMPLEMENTARES</t>
  </si>
  <si>
    <t>ALMOXARIFE COM ENCARGOS COMPLEMENTARES</t>
  </si>
  <si>
    <t>MESTRE DE OBRAS COM ENCARGOS COMPLEMENTARES</t>
  </si>
  <si>
    <t>10.03.000</t>
  </si>
  <si>
    <t>MÁQUINAS E EQUIPAMENTOS</t>
  </si>
  <si>
    <t>LOCACAO DE ANDAIME METALICO TIPO FACHADEIRO, LARGURA DE 1,20 M, ALTURA POR PECA DE 2,0 M, INCLUINDO SAPATAS E ITENS NECESSARIOS A INSTALACAO</t>
  </si>
  <si>
    <t>M2XMES</t>
  </si>
  <si>
    <t>97062U</t>
  </si>
  <si>
    <t>COLOCAÇÃO DE TELA EM ANDAIME FACHADEIRO. AF_11/2017</t>
  </si>
  <si>
    <t>Soma das áreas construídas do edifício principal e subestação</t>
  </si>
  <si>
    <t>-</t>
  </si>
  <si>
    <t>Projeção da subestação</t>
  </si>
  <si>
    <t>Área de cada trecho de instalação de brise</t>
  </si>
  <si>
    <t>3 meses, área de tela conforme calculado em memorial</t>
  </si>
  <si>
    <t>ENGENHEIRO MECÂNICO COM ENCARGOS COMPLEMENTARES</t>
  </si>
  <si>
    <t>4h por dia, nos 3 meses de instalação, 21 dias úteis por mês</t>
  </si>
  <si>
    <t>Dias úteis</t>
  </si>
  <si>
    <t>Permanência durante a noite (12h)</t>
  </si>
  <si>
    <t>Permanência 24h</t>
  </si>
  <si>
    <t>Fins de semana</t>
  </si>
  <si>
    <t>Horas/dia</t>
  </si>
  <si>
    <t>Dias/mês</t>
  </si>
  <si>
    <t>Meses</t>
  </si>
  <si>
    <t>Total Horas</t>
  </si>
  <si>
    <t>A partir do mês 4</t>
  </si>
  <si>
    <t>4h por dia, nos meses 3, 4, 5 e 6; 2h por dia, do mês 7 até o fim da obra; 21 dias úteis por mês</t>
  </si>
  <si>
    <t>ENGENHEIRO CIVIL DE OBRA JÚNIOR COM ENCARGOS COMPLEMENTARES</t>
  </si>
  <si>
    <t>FUNDAÇÃO UNIVERSIDADE DE BRASÍLIA</t>
  </si>
  <si>
    <t>OBRA:</t>
  </si>
  <si>
    <t>Conclusão dos Laboratórios Analíticos em Geociências – LGC (Bloco 4) e subestação de energia elétrica (Bloco 5)</t>
  </si>
  <si>
    <t>Outubro de 2020</t>
  </si>
  <si>
    <t>REF. INSUMOS:</t>
  </si>
  <si>
    <t>SINAPI 08/2020; TCPO/PINI 08/2020; Informativo SBC 08/2020; SCO-RJ 08/2020; CPOS 07/2020; ORSE 06/2020; IOPES 02/2020</t>
  </si>
  <si>
    <t>BDI NORMAL:</t>
  </si>
  <si>
    <t>BDI DIFERENCIADO:</t>
  </si>
  <si>
    <t>BDI conforme Resolução nº 0013/2016 do Decanato de Administração</t>
  </si>
  <si>
    <t>Memória de Cálculo de Quantitativos: Canteiro e Bloco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</si>
</sst>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* #,##0.00_-;\-&quot;R$&quot;* #,##0.00_-;_-&quot;R$&quot;* &quot;-&quot;??_-;_-@_-"/>
    <numFmt numFmtId="164" formatCode="_(* #,##0.00_);_(* \(#,##0.00\);_(* \-??_);_(@_)"/>
    <numFmt numFmtId="165" formatCode="_(* #,##0.0000_);_(* \(#,##0.0000\);_(* \-??_);_(@_)"/>
    <numFmt numFmtId="166" formatCode="_(* #,##0.000000_);_(* \(#,##0.000000\);_(* \-??_);_(@_)"/>
    <numFmt numFmtId="167" formatCode="0.0000"/>
    <numFmt numFmtId="168" formatCode="0.00000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9.1999999999999993"/>
      <name val="Arial"/>
      <family val="2"/>
    </font>
    <font>
      <sz val="11"/>
      <color rgb="FF000000"/>
      <name val="Calibri"/>
      <family val="2"/>
    </font>
    <font>
      <sz val="8"/>
      <color indexed="8"/>
      <name val="Courier"/>
      <family val="3"/>
    </font>
    <font>
      <sz val="11"/>
      <color rgb="FF000000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name val="Verdana"/>
      <family val="2"/>
    </font>
    <font>
      <b/>
      <i/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indexed="64"/>
      </top>
      <bottom style="hair">
        <color rgb="FF000000"/>
      </bottom>
      <diagonal/>
    </border>
    <border>
      <left/>
      <right/>
      <top style="hair">
        <color indexed="64"/>
      </top>
      <bottom style="hair">
        <color rgb="FF000000"/>
      </bottom>
      <diagonal/>
    </border>
    <border>
      <left style="hair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164" fontId="4" fillId="0" borderId="0" applyFill="0" applyBorder="0" applyAlignment="0" applyProtection="0"/>
    <xf numFmtId="0" fontId="9" fillId="0" borderId="0"/>
    <xf numFmtId="0" fontId="11" fillId="0" borderId="0"/>
  </cellStyleXfs>
  <cellXfs count="297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2" fontId="1" fillId="2" borderId="0" xfId="0" applyNumberFormat="1" applyFont="1" applyFill="1" applyAlignment="1">
      <alignment horizontal="right" vertical="center"/>
    </xf>
    <xf numFmtId="2" fontId="1" fillId="3" borderId="0" xfId="0" applyNumberFormat="1" applyFont="1" applyFill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0" fontId="4" fillId="0" borderId="0" xfId="1" applyAlignment="1">
      <alignment vertical="center"/>
    </xf>
    <xf numFmtId="4" fontId="5" fillId="5" borderId="1" xfId="2" applyNumberFormat="1" applyFont="1" applyFill="1" applyBorder="1" applyAlignment="1" applyProtection="1">
      <alignment horizontal="center" vertical="center" wrapText="1"/>
      <protection hidden="1"/>
    </xf>
    <xf numFmtId="4" fontId="5" fillId="5" borderId="3" xfId="2" applyNumberFormat="1" applyFont="1" applyFill="1" applyBorder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justify" vertical="center" wrapText="1"/>
      <protection hidden="1"/>
    </xf>
    <xf numFmtId="4" fontId="5" fillId="0" borderId="0" xfId="2" applyNumberFormat="1" applyFont="1" applyAlignment="1" applyProtection="1">
      <alignment vertical="center" wrapText="1"/>
      <protection hidden="1"/>
    </xf>
    <xf numFmtId="164" fontId="5" fillId="0" borderId="0" xfId="3" applyFont="1" applyFill="1" applyBorder="1" applyAlignment="1" applyProtection="1">
      <alignment horizontal="center" vertical="center" wrapText="1"/>
      <protection hidden="1"/>
    </xf>
    <xf numFmtId="165" fontId="5" fillId="0" borderId="0" xfId="3" applyNumberFormat="1" applyFont="1" applyFill="1" applyBorder="1" applyAlignment="1" applyProtection="1">
      <alignment horizontal="center" vertical="center" wrapText="1"/>
      <protection hidden="1"/>
    </xf>
    <xf numFmtId="165" fontId="5" fillId="0" borderId="0" xfId="3" applyNumberFormat="1" applyFont="1" applyFill="1" applyBorder="1" applyAlignment="1" applyProtection="1">
      <alignment horizontal="justify" vertical="center" wrapText="1"/>
      <protection hidden="1"/>
    </xf>
    <xf numFmtId="164" fontId="5" fillId="0" borderId="0" xfId="3" applyFont="1" applyFill="1" applyBorder="1" applyAlignment="1" applyProtection="1">
      <alignment horizontal="justify" vertical="center" wrapText="1"/>
      <protection hidden="1"/>
    </xf>
    <xf numFmtId="4" fontId="6" fillId="0" borderId="0" xfId="2" applyNumberFormat="1" applyFont="1" applyAlignment="1" applyProtection="1">
      <alignment horizontal="center" vertical="center" wrapText="1"/>
      <protection hidden="1"/>
    </xf>
    <xf numFmtId="4" fontId="6" fillId="0" borderId="0" xfId="2" applyNumberFormat="1" applyFont="1" applyAlignment="1" applyProtection="1">
      <alignment horizontal="justify" vertical="center" wrapText="1"/>
      <protection hidden="1"/>
    </xf>
    <xf numFmtId="164" fontId="6" fillId="0" borderId="0" xfId="3" applyFont="1" applyFill="1" applyBorder="1" applyAlignment="1" applyProtection="1">
      <alignment horizontal="justify" vertical="center" wrapText="1"/>
      <protection hidden="1"/>
    </xf>
    <xf numFmtId="0" fontId="4" fillId="0" borderId="0" xfId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2" fontId="0" fillId="7" borderId="5" xfId="0" applyNumberFormat="1" applyFill="1" applyBorder="1" applyAlignment="1">
      <alignment horizontal="right" vertical="center"/>
    </xf>
    <xf numFmtId="2" fontId="0" fillId="7" borderId="6" xfId="0" applyNumberFormat="1" applyFill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2" fontId="0" fillId="7" borderId="8" xfId="0" applyNumberFormat="1" applyFill="1" applyBorder="1" applyAlignment="1">
      <alignment horizontal="right" vertical="center"/>
    </xf>
    <xf numFmtId="2" fontId="0" fillId="7" borderId="0" xfId="0" applyNumberFormat="1" applyFill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0" fillId="7" borderId="10" xfId="0" applyNumberFormat="1" applyFill="1" applyBorder="1" applyAlignment="1">
      <alignment horizontal="right" vertical="center"/>
    </xf>
    <xf numFmtId="2" fontId="0" fillId="7" borderId="11" xfId="0" applyNumberFormat="1" applyFill="1" applyBorder="1" applyAlignment="1">
      <alignment horizontal="right" vertical="center"/>
    </xf>
    <xf numFmtId="2" fontId="0" fillId="7" borderId="0" xfId="0" applyNumberFormat="1" applyFill="1" applyAlignment="1">
      <alignment horizontal="right" vertical="center"/>
    </xf>
    <xf numFmtId="0" fontId="0" fillId="8" borderId="8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5" fillId="0" borderId="0" xfId="3" applyNumberFormat="1" applyFont="1" applyFill="1" applyBorder="1" applyAlignment="1" applyProtection="1">
      <alignment horizontal="justify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164" fontId="7" fillId="0" borderId="0" xfId="3" applyFont="1" applyFill="1" applyBorder="1" applyAlignment="1" applyProtection="1">
      <alignment horizontal="center" vertical="center" wrapText="1"/>
      <protection hidden="1"/>
    </xf>
    <xf numFmtId="164" fontId="7" fillId="0" borderId="0" xfId="3" applyFont="1" applyFill="1" applyBorder="1" applyAlignment="1" applyProtection="1">
      <alignment horizontal="right" vertical="center" wrapText="1"/>
      <protection hidden="1"/>
    </xf>
    <xf numFmtId="166" fontId="5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/>
    <xf numFmtId="0" fontId="0" fillId="10" borderId="0" xfId="0" applyFill="1"/>
    <xf numFmtId="0" fontId="0" fillId="10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10" borderId="0" xfId="0" applyFill="1" applyAlignment="1"/>
    <xf numFmtId="2" fontId="0" fillId="0" borderId="0" xfId="0" applyNumberFormat="1" applyAlignment="1">
      <alignment horizontal="right"/>
    </xf>
    <xf numFmtId="2" fontId="0" fillId="0" borderId="0" xfId="0" applyNumberFormat="1"/>
    <xf numFmtId="4" fontId="5" fillId="0" borderId="0" xfId="2" applyNumberFormat="1" applyFont="1" applyAlignment="1" applyProtection="1">
      <alignment horizontal="center" vertical="center" wrapText="1"/>
      <protection hidden="1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2" fontId="1" fillId="6" borderId="0" xfId="0" applyNumberFormat="1" applyFont="1" applyFill="1" applyAlignment="1">
      <alignment horizontal="center" vertical="center"/>
    </xf>
    <xf numFmtId="4" fontId="6" fillId="0" borderId="0" xfId="2" applyNumberFormat="1" applyFont="1" applyAlignment="1" applyProtection="1">
      <alignment horizontal="right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0" fillId="11" borderId="15" xfId="4" applyFont="1" applyFill="1" applyBorder="1" applyAlignment="1">
      <alignment horizontal="center" vertical="center"/>
    </xf>
    <xf numFmtId="0" fontId="10" fillId="11" borderId="15" xfId="4" applyFont="1" applyFill="1" applyBorder="1" applyAlignment="1">
      <alignment horizontal="left" vertical="center"/>
    </xf>
    <xf numFmtId="4" fontId="10" fillId="11" borderId="15" xfId="4" applyNumberFormat="1" applyFont="1" applyFill="1" applyBorder="1" applyAlignment="1">
      <alignment horizontal="center" vertical="center"/>
    </xf>
    <xf numFmtId="0" fontId="10" fillId="12" borderId="15" xfId="4" applyFont="1" applyFill="1" applyBorder="1" applyAlignment="1">
      <alignment horizontal="center" vertical="center"/>
    </xf>
    <xf numFmtId="0" fontId="10" fillId="12" borderId="15" xfId="4" applyFont="1" applyFill="1" applyBorder="1" applyAlignment="1">
      <alignment horizontal="left" vertical="center"/>
    </xf>
    <xf numFmtId="4" fontId="10" fillId="12" borderId="15" xfId="4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 wrapText="1"/>
    </xf>
    <xf numFmtId="168" fontId="0" fillId="0" borderId="0" xfId="0" applyNumberFormat="1" applyAlignment="1">
      <alignment vertical="center"/>
    </xf>
    <xf numFmtId="4" fontId="6" fillId="0" borderId="0" xfId="2" applyNumberFormat="1" applyFont="1" applyAlignment="1" applyProtection="1">
      <alignment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6" fillId="0" borderId="0" xfId="2" applyNumberFormat="1" applyFont="1" applyAlignment="1" applyProtection="1">
      <alignment horizontal="right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6" fillId="0" borderId="0" xfId="2" applyNumberFormat="1" applyFont="1" applyAlignment="1" applyProtection="1">
      <alignment horizontal="right" vertical="center" wrapText="1"/>
      <protection hidden="1"/>
    </xf>
    <xf numFmtId="4" fontId="5" fillId="0" borderId="0" xfId="2" applyNumberFormat="1" applyFont="1" applyAlignment="1" applyProtection="1">
      <alignment horizontal="left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right" vertical="center" wrapText="1"/>
      <protection hidden="1"/>
    </xf>
    <xf numFmtId="164" fontId="6" fillId="0" borderId="0" xfId="3" applyFont="1" applyFill="1" applyBorder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0" fontId="0" fillId="0" borderId="0" xfId="0" applyFill="1"/>
    <xf numFmtId="2" fontId="0" fillId="0" borderId="0" xfId="0" applyNumberFormat="1" applyFill="1"/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6" fillId="0" borderId="0" xfId="2" applyNumberFormat="1" applyFont="1" applyAlignment="1" applyProtection="1">
      <alignment horizontal="center" vertical="center" wrapText="1"/>
      <protection hidden="1"/>
    </xf>
    <xf numFmtId="164" fontId="5" fillId="0" borderId="0" xfId="3" applyFont="1" applyFill="1" applyBorder="1" applyAlignment="1" applyProtection="1">
      <alignment horizontal="center" vertical="center" wrapText="1"/>
      <protection hidden="1"/>
    </xf>
    <xf numFmtId="4" fontId="6" fillId="0" borderId="0" xfId="2" applyNumberFormat="1" applyFont="1" applyAlignment="1" applyProtection="1">
      <alignment horizontal="right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6" fillId="0" borderId="0" xfId="2" applyNumberFormat="1" applyFont="1" applyAlignment="1" applyProtection="1">
      <alignment horizontal="center" vertical="center" wrapText="1"/>
      <protection hidden="1"/>
    </xf>
    <xf numFmtId="164" fontId="5" fillId="0" borderId="0" xfId="3" applyFont="1" applyFill="1" applyBorder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6" fillId="0" borderId="0" xfId="2" applyNumberFormat="1" applyFont="1" applyAlignment="1" applyProtection="1">
      <alignment horizontal="right" vertical="center" wrapText="1"/>
      <protection hidden="1"/>
    </xf>
    <xf numFmtId="4" fontId="6" fillId="0" borderId="0" xfId="2" applyNumberFormat="1" applyFont="1" applyAlignment="1" applyProtection="1">
      <alignment horizontal="center" vertical="center" wrapText="1"/>
      <protection hidden="1"/>
    </xf>
    <xf numFmtId="164" fontId="5" fillId="0" borderId="0" xfId="3" applyFont="1" applyFill="1" applyBorder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164" fontId="5" fillId="0" borderId="0" xfId="3" applyFont="1" applyFill="1" applyBorder="1" applyAlignment="1" applyProtection="1">
      <alignment horizontal="center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6" fillId="0" borderId="0" xfId="2" applyNumberFormat="1" applyFont="1" applyAlignment="1" applyProtection="1">
      <alignment horizontal="center" vertical="center" wrapText="1"/>
      <protection hidden="1"/>
    </xf>
    <xf numFmtId="164" fontId="5" fillId="0" borderId="0" xfId="3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 vertical="center" wrapText="1"/>
    </xf>
    <xf numFmtId="2" fontId="0" fillId="4" borderId="0" xfId="0" applyNumberFormat="1" applyFill="1" applyAlignment="1">
      <alignment horizontal="right" vertical="center"/>
    </xf>
    <xf numFmtId="0" fontId="0" fillId="4" borderId="0" xfId="0" applyFill="1" applyAlignment="1">
      <alignment vertical="center"/>
    </xf>
    <xf numFmtId="2" fontId="5" fillId="0" borderId="0" xfId="3" applyNumberFormat="1" applyFont="1" applyFill="1" applyBorder="1" applyAlignment="1" applyProtection="1">
      <alignment horizontal="justify" vertical="center" wrapText="1"/>
      <protection hidden="1"/>
    </xf>
    <xf numFmtId="4" fontId="12" fillId="0" borderId="21" xfId="5" applyNumberFormat="1" applyFont="1" applyBorder="1" applyAlignment="1">
      <alignment horizontal="left" vertical="center" wrapText="1"/>
    </xf>
    <xf numFmtId="4" fontId="12" fillId="0" borderId="0" xfId="5" applyNumberFormat="1" applyFont="1" applyAlignment="1">
      <alignment horizontal="left" vertical="center"/>
    </xf>
    <xf numFmtId="0" fontId="12" fillId="0" borderId="0" xfId="5" applyFont="1" applyAlignment="1">
      <alignment vertical="center"/>
    </xf>
    <xf numFmtId="0" fontId="13" fillId="0" borderId="18" xfId="5" applyFont="1" applyBorder="1" applyAlignment="1">
      <alignment horizontal="left" vertical="center" wrapText="1"/>
    </xf>
    <xf numFmtId="0" fontId="12" fillId="0" borderId="18" xfId="5" applyFont="1" applyBorder="1" applyAlignment="1">
      <alignment horizontal="left" vertical="center" wrapText="1"/>
    </xf>
    <xf numFmtId="0" fontId="12" fillId="0" borderId="21" xfId="5" applyFont="1" applyBorder="1" applyAlignment="1">
      <alignment horizontal="left" vertical="center" wrapText="1"/>
    </xf>
    <xf numFmtId="0" fontId="12" fillId="0" borderId="21" xfId="5" applyFont="1" applyBorder="1" applyAlignment="1">
      <alignment horizontal="center" vertical="center" wrapText="1"/>
    </xf>
    <xf numFmtId="4" fontId="12" fillId="0" borderId="21" xfId="5" applyNumberFormat="1" applyFont="1" applyBorder="1" applyAlignment="1">
      <alignment horizontal="right" vertical="center" wrapText="1"/>
    </xf>
    <xf numFmtId="4" fontId="12" fillId="0" borderId="0" xfId="5" applyNumberFormat="1" applyFont="1" applyAlignment="1">
      <alignment vertical="center"/>
    </xf>
    <xf numFmtId="0" fontId="0" fillId="4" borderId="0" xfId="0" applyFont="1" applyFill="1" applyAlignment="1">
      <alignment horizontal="right" vertical="center"/>
    </xf>
    <xf numFmtId="0" fontId="0" fillId="4" borderId="0" xfId="0" applyFont="1" applyFill="1" applyAlignment="1">
      <alignment vertical="center" wrapText="1"/>
    </xf>
    <xf numFmtId="2" fontId="0" fillId="4" borderId="0" xfId="0" applyNumberFormat="1" applyFont="1" applyFill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vertical="center" wrapText="1"/>
    </xf>
    <xf numFmtId="2" fontId="2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1" fontId="0" fillId="4" borderId="0" xfId="0" applyNumberFormat="1" applyFill="1" applyAlignment="1">
      <alignment horizontal="right" vertical="center"/>
    </xf>
    <xf numFmtId="1" fontId="0" fillId="4" borderId="0" xfId="0" applyNumberFormat="1" applyFont="1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4" fontId="12" fillId="0" borderId="22" xfId="5" applyNumberFormat="1" applyFont="1" applyBorder="1" applyAlignment="1">
      <alignment horizontal="left" vertical="center" wrapText="1"/>
    </xf>
    <xf numFmtId="4" fontId="12" fillId="0" borderId="20" xfId="5" applyNumberFormat="1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4" fontId="12" fillId="0" borderId="21" xfId="5" applyNumberFormat="1" applyFont="1" applyFill="1" applyBorder="1" applyAlignment="1">
      <alignment horizontal="left" vertical="center" wrapText="1"/>
    </xf>
    <xf numFmtId="0" fontId="0" fillId="8" borderId="23" xfId="0" applyFill="1" applyBorder="1" applyAlignment="1">
      <alignment vertical="center"/>
    </xf>
    <xf numFmtId="2" fontId="0" fillId="0" borderId="6" xfId="0" applyNumberFormat="1" applyBorder="1" applyAlignment="1">
      <alignment horizontal="center" vertical="center"/>
    </xf>
    <xf numFmtId="0" fontId="0" fillId="8" borderId="24" xfId="0" applyFill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0" fillId="8" borderId="25" xfId="0" applyFill="1" applyBorder="1" applyAlignment="1">
      <alignment vertical="center"/>
    </xf>
    <xf numFmtId="2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4" borderId="14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9" borderId="0" xfId="0" applyFont="1" applyFill="1" applyAlignment="1">
      <alignment horizontal="right" vertical="center"/>
    </xf>
    <xf numFmtId="0" fontId="0" fillId="9" borderId="0" xfId="0" applyFill="1" applyAlignment="1">
      <alignment vertical="center"/>
    </xf>
    <xf numFmtId="2" fontId="2" fillId="9" borderId="13" xfId="0" applyNumberFormat="1" applyFont="1" applyFill="1" applyBorder="1" applyAlignment="1">
      <alignment horizontal="center" vertical="center"/>
    </xf>
    <xf numFmtId="2" fontId="2" fillId="9" borderId="4" xfId="0" applyNumberFormat="1" applyFont="1" applyFill="1" applyBorder="1" applyAlignment="1">
      <alignment horizontal="center" vertical="center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6" fillId="0" borderId="0" xfId="2" applyNumberFormat="1" applyFont="1" applyAlignment="1" applyProtection="1">
      <alignment horizontal="center" vertical="center" wrapText="1"/>
      <protection hidden="1"/>
    </xf>
    <xf numFmtId="164" fontId="5" fillId="0" borderId="0" xfId="3" applyFont="1" applyFill="1" applyBorder="1" applyAlignment="1" applyProtection="1">
      <alignment horizontal="center" vertical="center" wrapText="1"/>
      <protection hidden="1"/>
    </xf>
    <xf numFmtId="0" fontId="12" fillId="0" borderId="18" xfId="5" applyFont="1" applyFill="1" applyBorder="1" applyAlignment="1">
      <alignment horizontal="left" vertical="center" wrapText="1"/>
    </xf>
    <xf numFmtId="0" fontId="12" fillId="0" borderId="21" xfId="5" applyFont="1" applyFill="1" applyBorder="1" applyAlignment="1">
      <alignment horizontal="left" vertical="center" wrapText="1"/>
    </xf>
    <xf numFmtId="0" fontId="12" fillId="0" borderId="21" xfId="5" applyFont="1" applyFill="1" applyBorder="1" applyAlignment="1">
      <alignment horizontal="center" vertical="center" wrapText="1"/>
    </xf>
    <xf numFmtId="4" fontId="12" fillId="0" borderId="21" xfId="5" applyNumberFormat="1" applyFont="1" applyFill="1" applyBorder="1" applyAlignment="1">
      <alignment horizontal="right" vertical="center" wrapText="1"/>
    </xf>
    <xf numFmtId="0" fontId="12" fillId="0" borderId="0" xfId="5" applyFont="1" applyFill="1" applyAlignment="1">
      <alignment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4" fontId="12" fillId="0" borderId="2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14" fillId="13" borderId="0" xfId="5" applyFont="1" applyFill="1" applyBorder="1" applyAlignment="1">
      <alignment horizontal="center" vertical="center" wrapText="1"/>
    </xf>
    <xf numFmtId="4" fontId="14" fillId="13" borderId="0" xfId="5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15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4" fontId="19" fillId="0" borderId="0" xfId="0" applyNumberFormat="1" applyFont="1" applyAlignment="1">
      <alignment vertical="center" wrapText="1"/>
    </xf>
    <xf numFmtId="0" fontId="18" fillId="14" borderId="0" xfId="0" applyFont="1" applyFill="1" applyAlignment="1">
      <alignment vertical="center"/>
    </xf>
    <xf numFmtId="10" fontId="19" fillId="14" borderId="0" xfId="0" applyNumberFormat="1" applyFont="1" applyFill="1" applyAlignment="1">
      <alignment horizontal="left" vertical="center"/>
    </xf>
    <xf numFmtId="0" fontId="19" fillId="14" borderId="0" xfId="0" applyFont="1" applyFill="1" applyAlignment="1">
      <alignment horizontal="left" vertical="center"/>
    </xf>
    <xf numFmtId="44" fontId="0" fillId="0" borderId="0" xfId="0" applyNumberFormat="1" applyFill="1" applyAlignment="1">
      <alignment vertical="center" wrapText="1"/>
    </xf>
    <xf numFmtId="44" fontId="2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44" fontId="19" fillId="0" borderId="0" xfId="0" applyNumberFormat="1" applyFont="1" applyFill="1" applyAlignment="1">
      <alignment vertical="center"/>
    </xf>
    <xf numFmtId="44" fontId="18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 wrapText="1"/>
    </xf>
    <xf numFmtId="0" fontId="18" fillId="14" borderId="0" xfId="0" applyFont="1" applyFill="1" applyAlignment="1">
      <alignment vertical="center" wrapText="1"/>
    </xf>
    <xf numFmtId="44" fontId="19" fillId="14" borderId="0" xfId="0" applyNumberFormat="1" applyFont="1" applyFill="1" applyAlignment="1">
      <alignment horizontal="left" vertical="center"/>
    </xf>
    <xf numFmtId="0" fontId="19" fillId="14" borderId="0" xfId="0" applyFont="1" applyFill="1" applyAlignment="1">
      <alignment horizontal="left" vertical="center"/>
    </xf>
    <xf numFmtId="0" fontId="19" fillId="14" borderId="0" xfId="0" applyFont="1" applyFill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 wrapText="1"/>
    </xf>
    <xf numFmtId="0" fontId="13" fillId="0" borderId="19" xfId="5" applyFont="1" applyBorder="1" applyAlignment="1">
      <alignment horizontal="left" vertical="center" wrapText="1"/>
    </xf>
    <xf numFmtId="0" fontId="13" fillId="0" borderId="20" xfId="5" applyFont="1" applyBorder="1" applyAlignment="1">
      <alignment horizontal="left" vertical="center" wrapText="1"/>
    </xf>
    <xf numFmtId="0" fontId="13" fillId="0" borderId="16" xfId="5" applyFont="1" applyBorder="1" applyAlignment="1">
      <alignment horizontal="left" vertical="center" wrapText="1"/>
    </xf>
    <xf numFmtId="0" fontId="13" fillId="0" borderId="17" xfId="5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7" xfId="5" applyFont="1" applyBorder="1" applyAlignment="1">
      <alignment horizontal="left" vertical="center" wrapText="1"/>
    </xf>
    <xf numFmtId="0" fontId="13" fillId="0" borderId="22" xfId="5" applyFont="1" applyBorder="1" applyAlignment="1">
      <alignment horizontal="left" vertical="center" wrapText="1"/>
    </xf>
    <xf numFmtId="10" fontId="19" fillId="14" borderId="0" xfId="0" applyNumberFormat="1" applyFont="1" applyFill="1" applyAlignment="1">
      <alignment horizontal="left" vertical="center"/>
    </xf>
    <xf numFmtId="4" fontId="6" fillId="0" borderId="0" xfId="2" applyNumberFormat="1" applyFont="1" applyAlignment="1" applyProtection="1">
      <alignment horizontal="right" vertical="center" wrapText="1"/>
      <protection hidden="1"/>
    </xf>
    <xf numFmtId="4" fontId="5" fillId="0" borderId="0" xfId="2" applyNumberFormat="1" applyFont="1" applyAlignment="1" applyProtection="1">
      <alignment horizontal="left" vertical="center" wrapText="1"/>
      <protection hidden="1"/>
    </xf>
    <xf numFmtId="4" fontId="5" fillId="5" borderId="2" xfId="2" applyNumberFormat="1" applyFont="1" applyFill="1" applyBorder="1" applyAlignment="1" applyProtection="1">
      <alignment horizontal="left"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4" fontId="6" fillId="0" borderId="0" xfId="2" applyNumberFormat="1" applyFont="1" applyAlignment="1" applyProtection="1">
      <alignment horizontal="center" vertical="center" wrapText="1"/>
      <protection hidden="1"/>
    </xf>
    <xf numFmtId="164" fontId="5" fillId="0" borderId="0" xfId="3" applyFont="1" applyFill="1" applyBorder="1" applyAlignment="1" applyProtection="1">
      <alignment horizontal="center" vertical="center" wrapText="1"/>
      <protection hidden="1"/>
    </xf>
    <xf numFmtId="4" fontId="6" fillId="0" borderId="26" xfId="2" applyNumberFormat="1" applyFont="1" applyBorder="1" applyAlignment="1" applyProtection="1">
      <alignment horizontal="center" vertical="center" wrapText="1"/>
      <protection hidden="1"/>
    </xf>
    <xf numFmtId="164" fontId="6" fillId="0" borderId="0" xfId="3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6">
    <cellStyle name="Normal" xfId="0" builtinId="0"/>
    <cellStyle name="Normal 2" xfId="1" xr:uid="{1FED0A7F-6B1B-44A9-8212-7A0E11A82E83}"/>
    <cellStyle name="Normal 3" xfId="5" xr:uid="{DB250FD3-7D21-4CA7-82C0-1E3F171B8B4F}"/>
    <cellStyle name="Normal_Pesquisa no referencial 10 de maio de 2013" xfId="4" xr:uid="{7E8A756A-2943-4D0E-9108-F9FBB743D9DC}"/>
    <cellStyle name="Normal_Planilhas Orçamentária_16-10-07" xfId="2" xr:uid="{64BDDEF1-E6A8-4F48-9B9F-7C81A9DC4DBE}"/>
    <cellStyle name="Vírgula 2 6" xfId="3" xr:uid="{39035EC5-89DF-4879-9141-ADAAD15C5AEB}"/>
  </cellStyles>
  <dxfs count="3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0</xdr:row>
      <xdr:rowOff>190499</xdr:rowOff>
    </xdr:from>
    <xdr:to>
      <xdr:col>0</xdr:col>
      <xdr:colOff>1200150</xdr:colOff>
      <xdr:row>3</xdr:row>
      <xdr:rowOff>133350</xdr:rowOff>
    </xdr:to>
    <xdr:pic>
      <xdr:nvPicPr>
        <xdr:cNvPr id="2" name="Picture 1024" descr="Resultado de imagem para LOGO UNB">
          <a:extLst>
            <a:ext uri="{FF2B5EF4-FFF2-40B4-BE49-F238E27FC236}">
              <a16:creationId xmlns:a16="http://schemas.microsoft.com/office/drawing/2014/main" id="{B4D103C4-0B92-4E17-BB2B-ED6A8A50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74083" y="190499"/>
          <a:ext cx="1126067" cy="590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1069975</xdr:colOff>
      <xdr:row>1</xdr:row>
      <xdr:rowOff>35984</xdr:rowOff>
    </xdr:from>
    <xdr:to>
      <xdr:col>4</xdr:col>
      <xdr:colOff>2181225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51665C8-D9D2-4912-8D9F-5820655C8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9675" y="226484"/>
          <a:ext cx="1111250" cy="5926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115496</xdr:colOff>
      <xdr:row>1</xdr:row>
      <xdr:rowOff>41413</xdr:rowOff>
    </xdr:from>
    <xdr:to>
      <xdr:col>1</xdr:col>
      <xdr:colOff>432352</xdr:colOff>
      <xdr:row>3</xdr:row>
      <xdr:rowOff>223631</xdr:rowOff>
    </xdr:to>
    <xdr:pic>
      <xdr:nvPicPr>
        <xdr:cNvPr id="4" name="Picture 1024" descr="Resultado de imagem para LOGO UNB">
          <a:extLst>
            <a:ext uri="{FF2B5EF4-FFF2-40B4-BE49-F238E27FC236}">
              <a16:creationId xmlns:a16="http://schemas.microsoft.com/office/drawing/2014/main" id="{638FD1D7-9453-4AFB-A11E-E269927D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115496" y="231913"/>
          <a:ext cx="1128552" cy="646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485223</xdr:colOff>
      <xdr:row>1</xdr:row>
      <xdr:rowOff>77397</xdr:rowOff>
    </xdr:from>
    <xdr:to>
      <xdr:col>10</xdr:col>
      <xdr:colOff>431939</xdr:colOff>
      <xdr:row>3</xdr:row>
      <xdr:rowOff>223630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A33D993-786A-4DDF-8D66-3F0ABDFF3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5571" y="267897"/>
          <a:ext cx="1106281" cy="610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37D0F-5815-438C-B97E-A9DA12E91AC9}">
  <dimension ref="A1:T355"/>
  <sheetViews>
    <sheetView showGridLines="0" tabSelected="1" view="pageLayout" topLeftCell="A34" zoomScaleNormal="100" zoomScaleSheetLayoutView="70" workbookViewId="0">
      <selection activeCell="E34" sqref="E34"/>
    </sheetView>
  </sheetViews>
  <sheetFormatPr defaultRowHeight="12.75" x14ac:dyDescent="0.25"/>
  <cols>
    <col min="1" max="1" width="20.7109375" style="164" customWidth="1"/>
    <col min="2" max="2" width="36.5703125" style="164" customWidth="1"/>
    <col min="3" max="3" width="10.5703125" style="164" customWidth="1"/>
    <col min="4" max="4" width="10.42578125" style="170" customWidth="1"/>
    <col min="5" max="5" width="33.7109375" style="163" customWidth="1"/>
    <col min="6" max="16384" width="9.140625" style="164"/>
  </cols>
  <sheetData>
    <row r="1" spans="1:20" s="238" customFormat="1" ht="15" x14ac:dyDescent="0.25">
      <c r="B1" s="8"/>
      <c r="C1" s="8"/>
      <c r="D1" s="8"/>
      <c r="E1" s="239"/>
      <c r="F1" s="239"/>
      <c r="G1" s="239"/>
      <c r="H1" s="239"/>
      <c r="I1" s="239"/>
      <c r="J1" s="240"/>
      <c r="K1" s="241"/>
      <c r="L1" s="241"/>
      <c r="M1" s="241"/>
      <c r="N1" s="241"/>
      <c r="O1" s="241"/>
      <c r="P1" s="241"/>
      <c r="Q1" s="241"/>
      <c r="R1" s="241"/>
      <c r="S1" s="241"/>
      <c r="T1" s="241"/>
    </row>
    <row r="2" spans="1:20" s="244" customFormat="1" ht="18" customHeight="1" x14ac:dyDescent="0.25">
      <c r="A2" s="262" t="s">
        <v>1647</v>
      </c>
      <c r="B2" s="262"/>
      <c r="C2" s="262"/>
      <c r="D2" s="262"/>
      <c r="E2" s="262"/>
      <c r="F2" s="245"/>
      <c r="G2" s="245"/>
      <c r="H2" s="242"/>
      <c r="I2" s="242"/>
      <c r="J2" s="242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1:20" s="244" customFormat="1" ht="18" customHeight="1" x14ac:dyDescent="0.25">
      <c r="A3" s="262" t="s">
        <v>20</v>
      </c>
      <c r="B3" s="262"/>
      <c r="C3" s="262"/>
      <c r="D3" s="262"/>
      <c r="E3" s="262"/>
      <c r="F3" s="245"/>
      <c r="G3" s="245"/>
      <c r="H3" s="245"/>
      <c r="I3" s="245"/>
      <c r="J3" s="245"/>
      <c r="K3" s="243"/>
      <c r="L3" s="243"/>
      <c r="M3" s="243"/>
      <c r="N3" s="243"/>
      <c r="O3" s="243"/>
      <c r="P3" s="243"/>
      <c r="Q3" s="243"/>
      <c r="R3" s="243"/>
      <c r="S3" s="243"/>
      <c r="T3" s="243"/>
    </row>
    <row r="4" spans="1:20" s="244" customFormat="1" ht="18" customHeight="1" x14ac:dyDescent="0.25">
      <c r="A4" s="262" t="s">
        <v>1656</v>
      </c>
      <c r="B4" s="262"/>
      <c r="C4" s="262"/>
      <c r="D4" s="262"/>
      <c r="E4" s="262"/>
      <c r="F4" s="245"/>
      <c r="G4" s="245"/>
      <c r="H4" s="242"/>
      <c r="I4" s="242"/>
      <c r="J4" s="242"/>
      <c r="K4" s="243"/>
      <c r="L4" s="243"/>
      <c r="M4" s="243"/>
      <c r="N4" s="243"/>
      <c r="O4" s="243"/>
      <c r="P4" s="243"/>
      <c r="Q4" s="243"/>
      <c r="R4" s="243"/>
      <c r="S4" s="243"/>
      <c r="T4" s="243"/>
    </row>
    <row r="5" spans="1:20" s="238" customFormat="1" ht="15" x14ac:dyDescent="0.25">
      <c r="E5" s="239"/>
      <c r="F5" s="239"/>
      <c r="G5" s="239"/>
      <c r="H5" s="239"/>
      <c r="I5" s="239"/>
      <c r="J5" s="246"/>
    </row>
    <row r="6" spans="1:20" x14ac:dyDescent="0.25">
      <c r="A6" s="236" t="s">
        <v>933</v>
      </c>
      <c r="B6" s="236" t="s">
        <v>934</v>
      </c>
      <c r="C6" s="236" t="s">
        <v>935</v>
      </c>
      <c r="D6" s="237" t="s">
        <v>936</v>
      </c>
      <c r="E6" s="237" t="s">
        <v>1411</v>
      </c>
      <c r="F6" s="230"/>
      <c r="G6" s="230"/>
      <c r="H6" s="230"/>
      <c r="I6" s="230"/>
      <c r="J6" s="230"/>
    </row>
    <row r="7" spans="1:20" s="238" customFormat="1" ht="15" x14ac:dyDescent="0.25">
      <c r="E7" s="239"/>
      <c r="F7" s="252"/>
      <c r="G7" s="252"/>
      <c r="H7" s="252"/>
      <c r="I7" s="252"/>
      <c r="J7" s="253"/>
    </row>
    <row r="8" spans="1:20" s="248" customFormat="1" x14ac:dyDescent="0.25">
      <c r="A8" s="249" t="s">
        <v>1648</v>
      </c>
      <c r="B8" s="251" t="s">
        <v>1649</v>
      </c>
      <c r="C8" s="251"/>
      <c r="D8" s="251"/>
      <c r="E8" s="251"/>
      <c r="F8" s="254"/>
      <c r="G8" s="254"/>
      <c r="H8" s="254"/>
      <c r="I8" s="254"/>
      <c r="J8" s="255"/>
      <c r="K8" s="247"/>
      <c r="L8" s="247"/>
      <c r="M8" s="247"/>
      <c r="N8" s="247"/>
      <c r="O8" s="247"/>
      <c r="P8" s="247"/>
      <c r="Q8" s="247"/>
      <c r="R8" s="247"/>
      <c r="S8" s="247"/>
      <c r="T8" s="247"/>
    </row>
    <row r="9" spans="1:20" s="248" customFormat="1" x14ac:dyDescent="0.25">
      <c r="A9" s="249" t="s">
        <v>21</v>
      </c>
      <c r="B9" s="260" t="s">
        <v>932</v>
      </c>
      <c r="C9" s="260"/>
      <c r="D9" s="260"/>
      <c r="E9" s="259"/>
      <c r="F9" s="255"/>
      <c r="G9" s="255"/>
      <c r="H9" s="255"/>
      <c r="I9" s="255"/>
      <c r="J9" s="256"/>
      <c r="K9" s="247"/>
      <c r="L9" s="247"/>
      <c r="M9" s="247"/>
      <c r="N9" s="247"/>
      <c r="O9" s="247"/>
      <c r="P9" s="247"/>
      <c r="Q9" s="247"/>
      <c r="R9" s="247"/>
      <c r="S9" s="247"/>
      <c r="T9" s="247"/>
    </row>
    <row r="10" spans="1:20" s="248" customFormat="1" x14ac:dyDescent="0.25">
      <c r="A10" s="249" t="s">
        <v>22</v>
      </c>
      <c r="B10" s="260" t="s">
        <v>1650</v>
      </c>
      <c r="C10" s="260"/>
      <c r="D10" s="260"/>
      <c r="E10" s="259"/>
      <c r="F10" s="255"/>
      <c r="G10" s="255"/>
      <c r="H10" s="255"/>
      <c r="I10" s="255"/>
      <c r="J10" s="256"/>
      <c r="K10" s="247"/>
      <c r="L10" s="247"/>
      <c r="M10" s="247"/>
      <c r="N10" s="247"/>
      <c r="O10" s="247"/>
      <c r="P10" s="247"/>
      <c r="Q10" s="247"/>
      <c r="R10" s="247"/>
      <c r="S10" s="247"/>
      <c r="T10" s="247"/>
    </row>
    <row r="11" spans="1:20" s="248" customFormat="1" ht="28.5" customHeight="1" x14ac:dyDescent="0.25">
      <c r="A11" s="249" t="s">
        <v>1651</v>
      </c>
      <c r="B11" s="261" t="s">
        <v>1652</v>
      </c>
      <c r="C11" s="261"/>
      <c r="D11" s="261"/>
      <c r="E11" s="261"/>
      <c r="F11" s="254"/>
      <c r="G11" s="254"/>
      <c r="H11" s="254"/>
      <c r="I11" s="254"/>
      <c r="J11" s="255"/>
      <c r="K11" s="247"/>
      <c r="L11" s="247"/>
      <c r="M11" s="247"/>
      <c r="N11" s="247"/>
      <c r="O11" s="247"/>
      <c r="P11" s="247"/>
      <c r="Q11" s="247"/>
      <c r="R11" s="247"/>
      <c r="S11" s="247"/>
      <c r="T11" s="247"/>
    </row>
    <row r="12" spans="1:20" s="248" customFormat="1" x14ac:dyDescent="0.25">
      <c r="A12" s="249" t="s">
        <v>1653</v>
      </c>
      <c r="B12" s="250">
        <v>0.26929999999999998</v>
      </c>
      <c r="C12" s="251"/>
      <c r="D12" s="251"/>
      <c r="E12" s="259"/>
      <c r="F12" s="255"/>
      <c r="G12" s="255"/>
      <c r="H12" s="255"/>
      <c r="I12" s="255"/>
      <c r="J12" s="256"/>
      <c r="K12" s="247"/>
      <c r="L12" s="247"/>
      <c r="M12" s="247"/>
      <c r="N12" s="247"/>
      <c r="O12" s="247"/>
      <c r="P12" s="247"/>
      <c r="Q12" s="247"/>
      <c r="R12" s="247"/>
      <c r="S12" s="247"/>
      <c r="T12" s="247"/>
    </row>
    <row r="13" spans="1:20" s="248" customFormat="1" x14ac:dyDescent="0.25">
      <c r="A13" s="249" t="s">
        <v>1654</v>
      </c>
      <c r="B13" s="250">
        <v>0.20930000000000001</v>
      </c>
      <c r="C13" s="251" t="s">
        <v>1655</v>
      </c>
      <c r="D13" s="251"/>
      <c r="E13" s="259"/>
      <c r="F13" s="255"/>
      <c r="G13" s="255"/>
      <c r="H13" s="255"/>
      <c r="I13" s="255"/>
      <c r="J13" s="256"/>
      <c r="K13" s="247"/>
      <c r="L13" s="247"/>
      <c r="M13" s="247"/>
      <c r="N13" s="247"/>
      <c r="O13" s="247"/>
      <c r="P13" s="247"/>
      <c r="Q13" s="247"/>
      <c r="R13" s="247"/>
      <c r="S13" s="247"/>
      <c r="T13" s="247"/>
    </row>
    <row r="14" spans="1:20" s="238" customFormat="1" ht="15" x14ac:dyDescent="0.25">
      <c r="F14" s="257"/>
      <c r="G14" s="257"/>
      <c r="H14" s="257"/>
      <c r="I14" s="257"/>
      <c r="J14" s="257"/>
    </row>
    <row r="15" spans="1:20" x14ac:dyDescent="0.25">
      <c r="A15" s="236" t="s">
        <v>933</v>
      </c>
      <c r="B15" s="236" t="s">
        <v>934</v>
      </c>
      <c r="C15" s="236" t="s">
        <v>935</v>
      </c>
      <c r="D15" s="237" t="s">
        <v>936</v>
      </c>
      <c r="E15" s="237" t="s">
        <v>1411</v>
      </c>
      <c r="F15" s="230"/>
      <c r="G15" s="230"/>
      <c r="H15" s="230"/>
      <c r="I15" s="230"/>
      <c r="J15" s="230"/>
    </row>
    <row r="16" spans="1:20" x14ac:dyDescent="0.25">
      <c r="A16" s="165" t="s">
        <v>899</v>
      </c>
      <c r="B16" s="269" t="s">
        <v>900</v>
      </c>
      <c r="C16" s="270"/>
      <c r="D16" s="270"/>
      <c r="E16" s="270"/>
      <c r="F16" s="230"/>
      <c r="G16" s="230"/>
      <c r="H16" s="230"/>
      <c r="I16" s="230"/>
      <c r="J16" s="230"/>
    </row>
    <row r="17" spans="1:10" x14ac:dyDescent="0.25">
      <c r="A17" s="165" t="s">
        <v>901</v>
      </c>
      <c r="B17" s="263" t="s">
        <v>902</v>
      </c>
      <c r="C17" s="264"/>
      <c r="D17" s="264"/>
      <c r="E17" s="264"/>
      <c r="F17" s="230"/>
      <c r="G17" s="230"/>
      <c r="H17" s="230"/>
      <c r="I17" s="230"/>
      <c r="J17" s="230"/>
    </row>
    <row r="18" spans="1:10" ht="25.5" x14ac:dyDescent="0.25">
      <c r="A18" s="166" t="s">
        <v>937</v>
      </c>
      <c r="B18" s="167" t="s">
        <v>938</v>
      </c>
      <c r="C18" s="168" t="s">
        <v>339</v>
      </c>
      <c r="D18" s="169">
        <f>4*D19</f>
        <v>56</v>
      </c>
      <c r="E18" s="162" t="s">
        <v>915</v>
      </c>
      <c r="F18" s="230"/>
      <c r="G18" s="230"/>
      <c r="H18" s="230"/>
      <c r="I18" s="230"/>
      <c r="J18" s="230"/>
    </row>
    <row r="19" spans="1:10" ht="25.5" x14ac:dyDescent="0.25">
      <c r="A19" s="166" t="s">
        <v>940</v>
      </c>
      <c r="B19" s="167" t="s">
        <v>941</v>
      </c>
      <c r="C19" s="168" t="s">
        <v>339</v>
      </c>
      <c r="D19" s="169">
        <f>Quantitativos!C23</f>
        <v>14</v>
      </c>
      <c r="E19" s="162" t="s">
        <v>914</v>
      </c>
    </row>
    <row r="20" spans="1:10" s="185" customFormat="1" ht="15" customHeight="1" x14ac:dyDescent="0.25">
      <c r="A20" s="184" t="s">
        <v>1</v>
      </c>
      <c r="B20" s="265" t="s">
        <v>3</v>
      </c>
      <c r="C20" s="266"/>
      <c r="D20" s="266"/>
      <c r="E20" s="183"/>
    </row>
    <row r="21" spans="1:10" s="185" customFormat="1" ht="15" customHeight="1" x14ac:dyDescent="0.25">
      <c r="A21" s="184" t="s">
        <v>1446</v>
      </c>
      <c r="B21" s="263" t="s">
        <v>1447</v>
      </c>
      <c r="C21" s="264"/>
      <c r="D21" s="264"/>
      <c r="E21" s="182"/>
    </row>
    <row r="22" spans="1:10" s="185" customFormat="1" x14ac:dyDescent="0.25">
      <c r="A22" s="184" t="s">
        <v>1448</v>
      </c>
      <c r="B22" s="263" t="s">
        <v>1449</v>
      </c>
      <c r="C22" s="264"/>
      <c r="D22" s="264"/>
      <c r="E22" s="183"/>
    </row>
    <row r="23" spans="1:10" s="185" customFormat="1" x14ac:dyDescent="0.25">
      <c r="A23" s="184" t="s">
        <v>1450</v>
      </c>
      <c r="B23" s="263" t="s">
        <v>1451</v>
      </c>
      <c r="C23" s="264"/>
      <c r="D23" s="264"/>
      <c r="E23" s="182"/>
    </row>
    <row r="24" spans="1:10" s="185" customFormat="1" ht="63.75" x14ac:dyDescent="0.25">
      <c r="A24" s="186">
        <v>10775</v>
      </c>
      <c r="B24" s="187" t="s">
        <v>1452</v>
      </c>
      <c r="C24" s="188" t="s">
        <v>1453</v>
      </c>
      <c r="D24" s="189" t="s">
        <v>1454</v>
      </c>
      <c r="E24" s="187" t="s">
        <v>1564</v>
      </c>
    </row>
    <row r="25" spans="1:10" s="185" customFormat="1" x14ac:dyDescent="0.25">
      <c r="A25" s="184" t="s">
        <v>1455</v>
      </c>
      <c r="B25" s="267" t="s">
        <v>1456</v>
      </c>
      <c r="C25" s="268"/>
      <c r="D25" s="268"/>
      <c r="E25" s="183"/>
    </row>
    <row r="26" spans="1:10" s="185" customFormat="1" ht="51" x14ac:dyDescent="0.25">
      <c r="A26" s="186" t="s">
        <v>1457</v>
      </c>
      <c r="B26" s="187" t="s">
        <v>1458</v>
      </c>
      <c r="C26" s="188" t="s">
        <v>350</v>
      </c>
      <c r="D26" s="189" t="s">
        <v>1459</v>
      </c>
      <c r="E26" s="187" t="s">
        <v>1565</v>
      </c>
    </row>
    <row r="27" spans="1:10" s="185" customFormat="1" x14ac:dyDescent="0.25">
      <c r="A27" s="184" t="s">
        <v>1460</v>
      </c>
      <c r="B27" s="267" t="s">
        <v>1461</v>
      </c>
      <c r="C27" s="268"/>
      <c r="D27" s="268"/>
      <c r="E27" s="183"/>
    </row>
    <row r="28" spans="1:10" s="185" customFormat="1" ht="63.75" x14ac:dyDescent="0.25">
      <c r="A28" s="186" t="s">
        <v>1462</v>
      </c>
      <c r="B28" s="187" t="s">
        <v>1463</v>
      </c>
      <c r="C28" s="188" t="s">
        <v>350</v>
      </c>
      <c r="D28" s="189" t="s">
        <v>1464</v>
      </c>
      <c r="E28" s="187" t="s">
        <v>1565</v>
      </c>
    </row>
    <row r="29" spans="1:10" s="185" customFormat="1" x14ac:dyDescent="0.25">
      <c r="A29" s="184" t="s">
        <v>1465</v>
      </c>
      <c r="B29" s="267" t="s">
        <v>1466</v>
      </c>
      <c r="C29" s="268"/>
      <c r="D29" s="268"/>
      <c r="E29" s="183"/>
    </row>
    <row r="30" spans="1:10" s="185" customFormat="1" ht="63.75" x14ac:dyDescent="0.25">
      <c r="A30" s="186" t="s">
        <v>1467</v>
      </c>
      <c r="B30" s="187" t="s">
        <v>1468</v>
      </c>
      <c r="C30" s="188" t="s">
        <v>350</v>
      </c>
      <c r="D30" s="189" t="s">
        <v>1469</v>
      </c>
      <c r="E30" s="187" t="s">
        <v>1565</v>
      </c>
    </row>
    <row r="31" spans="1:10" s="185" customFormat="1" x14ac:dyDescent="0.25">
      <c r="A31" s="184" t="s">
        <v>1470</v>
      </c>
      <c r="B31" s="267" t="s">
        <v>1471</v>
      </c>
      <c r="C31" s="268"/>
      <c r="D31" s="268"/>
      <c r="E31" s="183"/>
    </row>
    <row r="32" spans="1:10" s="185" customFormat="1" x14ac:dyDescent="0.25">
      <c r="A32" s="184" t="s">
        <v>1472</v>
      </c>
      <c r="B32" s="267" t="s">
        <v>1473</v>
      </c>
      <c r="C32" s="268"/>
      <c r="D32" s="268"/>
      <c r="E32" s="183"/>
    </row>
    <row r="33" spans="1:5" s="185" customFormat="1" ht="51" x14ac:dyDescent="0.25">
      <c r="A33" s="186" t="s">
        <v>1474</v>
      </c>
      <c r="B33" s="187" t="s">
        <v>1475</v>
      </c>
      <c r="C33" s="188" t="s">
        <v>366</v>
      </c>
      <c r="D33" s="189" t="s">
        <v>1476</v>
      </c>
      <c r="E33" s="187" t="s">
        <v>1566</v>
      </c>
    </row>
    <row r="34" spans="1:5" s="185" customFormat="1" ht="63.75" x14ac:dyDescent="0.25">
      <c r="A34" s="186" t="s">
        <v>1477</v>
      </c>
      <c r="B34" s="187" t="s">
        <v>1478</v>
      </c>
      <c r="C34" s="188" t="s">
        <v>339</v>
      </c>
      <c r="D34" s="189" t="s">
        <v>1061</v>
      </c>
      <c r="E34" s="187" t="s">
        <v>1566</v>
      </c>
    </row>
    <row r="35" spans="1:5" s="185" customFormat="1" x14ac:dyDescent="0.25">
      <c r="A35" s="184" t="s">
        <v>1479</v>
      </c>
      <c r="B35" s="267" t="s">
        <v>1480</v>
      </c>
      <c r="C35" s="268"/>
      <c r="D35" s="268"/>
      <c r="E35" s="183"/>
    </row>
    <row r="36" spans="1:5" s="185" customFormat="1" ht="76.5" x14ac:dyDescent="0.25">
      <c r="A36" s="186" t="s">
        <v>1481</v>
      </c>
      <c r="B36" s="187" t="s">
        <v>1482</v>
      </c>
      <c r="C36" s="188" t="s">
        <v>366</v>
      </c>
      <c r="D36" s="189" t="s">
        <v>1483</v>
      </c>
      <c r="E36" s="187" t="s">
        <v>1567</v>
      </c>
    </row>
    <row r="37" spans="1:5" s="185" customFormat="1" ht="51" x14ac:dyDescent="0.25">
      <c r="A37" s="186" t="s">
        <v>1484</v>
      </c>
      <c r="B37" s="187" t="s">
        <v>1485</v>
      </c>
      <c r="C37" s="188" t="s">
        <v>339</v>
      </c>
      <c r="D37" s="189" t="s">
        <v>1061</v>
      </c>
      <c r="E37" s="187" t="s">
        <v>1567</v>
      </c>
    </row>
    <row r="38" spans="1:5" s="185" customFormat="1" ht="25.5" x14ac:dyDescent="0.25">
      <c r="A38" s="186" t="s">
        <v>1486</v>
      </c>
      <c r="B38" s="187" t="s">
        <v>1487</v>
      </c>
      <c r="C38" s="188" t="s">
        <v>366</v>
      </c>
      <c r="D38" s="189" t="s">
        <v>1483</v>
      </c>
      <c r="E38" s="187" t="s">
        <v>1567</v>
      </c>
    </row>
    <row r="39" spans="1:5" s="185" customFormat="1" x14ac:dyDescent="0.25">
      <c r="A39" s="184" t="s">
        <v>1488</v>
      </c>
      <c r="B39" s="267" t="s">
        <v>1489</v>
      </c>
      <c r="C39" s="268"/>
      <c r="D39" s="268"/>
      <c r="E39" s="183"/>
    </row>
    <row r="40" spans="1:5" s="185" customFormat="1" ht="63.75" x14ac:dyDescent="0.25">
      <c r="A40" s="186" t="s">
        <v>1490</v>
      </c>
      <c r="B40" s="187" t="s">
        <v>1491</v>
      </c>
      <c r="C40" s="188" t="s">
        <v>366</v>
      </c>
      <c r="D40" s="189" t="s">
        <v>1492</v>
      </c>
      <c r="E40" s="187" t="s">
        <v>1566</v>
      </c>
    </row>
    <row r="41" spans="1:5" s="185" customFormat="1" x14ac:dyDescent="0.25">
      <c r="A41" s="184" t="s">
        <v>1493</v>
      </c>
      <c r="B41" s="267" t="s">
        <v>1494</v>
      </c>
      <c r="C41" s="268"/>
      <c r="D41" s="268"/>
      <c r="E41" s="183"/>
    </row>
    <row r="42" spans="1:5" s="185" customFormat="1" x14ac:dyDescent="0.25">
      <c r="A42" s="184" t="s">
        <v>1495</v>
      </c>
      <c r="B42" s="267" t="s">
        <v>1496</v>
      </c>
      <c r="C42" s="268"/>
      <c r="D42" s="268"/>
      <c r="E42" s="183"/>
    </row>
    <row r="43" spans="1:5" s="185" customFormat="1" ht="63.75" x14ac:dyDescent="0.25">
      <c r="A43" s="186" t="s">
        <v>1497</v>
      </c>
      <c r="B43" s="187" t="s">
        <v>1498</v>
      </c>
      <c r="C43" s="188" t="s">
        <v>366</v>
      </c>
      <c r="D43" s="189" t="s">
        <v>1499</v>
      </c>
      <c r="E43" s="187" t="s">
        <v>1568</v>
      </c>
    </row>
    <row r="44" spans="1:5" s="185" customFormat="1" x14ac:dyDescent="0.25">
      <c r="A44" s="184" t="s">
        <v>1500</v>
      </c>
      <c r="B44" s="267" t="s">
        <v>1501</v>
      </c>
      <c r="C44" s="268"/>
      <c r="D44" s="268"/>
      <c r="E44" s="183"/>
    </row>
    <row r="45" spans="1:5" s="185" customFormat="1" ht="25.5" x14ac:dyDescent="0.25">
      <c r="A45" s="186" t="s">
        <v>1502</v>
      </c>
      <c r="B45" s="187" t="s">
        <v>1503</v>
      </c>
      <c r="C45" s="188" t="s">
        <v>350</v>
      </c>
      <c r="D45" s="189" t="s">
        <v>1504</v>
      </c>
      <c r="E45" s="187" t="s">
        <v>169</v>
      </c>
    </row>
    <row r="46" spans="1:5" s="185" customFormat="1" x14ac:dyDescent="0.25">
      <c r="A46" s="184" t="s">
        <v>1505</v>
      </c>
      <c r="B46" s="267" t="s">
        <v>1506</v>
      </c>
      <c r="C46" s="268"/>
      <c r="D46" s="268"/>
      <c r="E46" s="183"/>
    </row>
    <row r="47" spans="1:5" s="185" customFormat="1" ht="38.25" x14ac:dyDescent="0.25">
      <c r="A47" s="186" t="s">
        <v>1507</v>
      </c>
      <c r="B47" s="187" t="s">
        <v>1508</v>
      </c>
      <c r="C47" s="188" t="s">
        <v>339</v>
      </c>
      <c r="D47" s="189" t="s">
        <v>1061</v>
      </c>
      <c r="E47" s="187" t="s">
        <v>1568</v>
      </c>
    </row>
    <row r="48" spans="1:5" s="185" customFormat="1" x14ac:dyDescent="0.25">
      <c r="A48" s="184" t="s">
        <v>2</v>
      </c>
      <c r="B48" s="267" t="s">
        <v>1509</v>
      </c>
      <c r="C48" s="268"/>
      <c r="D48" s="268"/>
      <c r="E48" s="183"/>
    </row>
    <row r="49" spans="1:5" s="185" customFormat="1" x14ac:dyDescent="0.25">
      <c r="A49" s="184" t="s">
        <v>0</v>
      </c>
      <c r="B49" s="267" t="s">
        <v>1510</v>
      </c>
      <c r="C49" s="268"/>
      <c r="D49" s="268"/>
      <c r="E49" s="183"/>
    </row>
    <row r="50" spans="1:5" s="185" customFormat="1" x14ac:dyDescent="0.25">
      <c r="A50" s="184" t="s">
        <v>1511</v>
      </c>
      <c r="B50" s="267" t="s">
        <v>1512</v>
      </c>
      <c r="C50" s="268"/>
      <c r="D50" s="268"/>
      <c r="E50" s="183"/>
    </row>
    <row r="51" spans="1:5" s="235" customFormat="1" ht="25.5" x14ac:dyDescent="0.25">
      <c r="A51" s="231" t="s">
        <v>1513</v>
      </c>
      <c r="B51" s="232" t="s">
        <v>1569</v>
      </c>
      <c r="C51" s="233" t="s">
        <v>948</v>
      </c>
      <c r="D51" s="234">
        <f>Quantitativos!K30</f>
        <v>0.51</v>
      </c>
      <c r="E51" s="190" t="s">
        <v>152</v>
      </c>
    </row>
    <row r="52" spans="1:5" s="185" customFormat="1" x14ac:dyDescent="0.25">
      <c r="A52" s="184" t="s">
        <v>1514</v>
      </c>
      <c r="B52" s="267" t="s">
        <v>1515</v>
      </c>
      <c r="C52" s="268"/>
      <c r="D52" s="268"/>
      <c r="E52" s="183"/>
    </row>
    <row r="53" spans="1:5" s="185" customFormat="1" ht="51" x14ac:dyDescent="0.25">
      <c r="A53" s="186" t="s">
        <v>1516</v>
      </c>
      <c r="B53" s="187" t="s">
        <v>1517</v>
      </c>
      <c r="C53" s="188" t="s">
        <v>948</v>
      </c>
      <c r="D53" s="189">
        <f>Quantitativos!K39</f>
        <v>1.35</v>
      </c>
      <c r="E53" s="190" t="s">
        <v>152</v>
      </c>
    </row>
    <row r="54" spans="1:5" s="235" customFormat="1" ht="25.5" x14ac:dyDescent="0.25">
      <c r="A54" s="231" t="s">
        <v>1518</v>
      </c>
      <c r="B54" s="232" t="s">
        <v>1570</v>
      </c>
      <c r="C54" s="233" t="s">
        <v>948</v>
      </c>
      <c r="D54" s="234">
        <f>Quantitativos!K46</f>
        <v>0.14000000000000001</v>
      </c>
      <c r="E54" s="190" t="s">
        <v>152</v>
      </c>
    </row>
    <row r="55" spans="1:5" s="185" customFormat="1" x14ac:dyDescent="0.25">
      <c r="A55" s="184" t="s">
        <v>1519</v>
      </c>
      <c r="B55" s="267" t="s">
        <v>1520</v>
      </c>
      <c r="C55" s="268"/>
      <c r="D55" s="268"/>
      <c r="E55" s="183"/>
    </row>
    <row r="56" spans="1:5" s="235" customFormat="1" ht="25.5" x14ac:dyDescent="0.25">
      <c r="A56" s="231" t="s">
        <v>1521</v>
      </c>
      <c r="B56" s="232" t="s">
        <v>750</v>
      </c>
      <c r="C56" s="233" t="s">
        <v>350</v>
      </c>
      <c r="D56" s="234" t="s">
        <v>1522</v>
      </c>
      <c r="E56" s="190" t="s">
        <v>778</v>
      </c>
    </row>
    <row r="57" spans="1:5" s="185" customFormat="1" x14ac:dyDescent="0.25">
      <c r="A57" s="184" t="s">
        <v>6</v>
      </c>
      <c r="B57" s="267" t="s">
        <v>1523</v>
      </c>
      <c r="C57" s="268"/>
      <c r="D57" s="268"/>
      <c r="E57" s="183"/>
    </row>
    <row r="58" spans="1:5" s="185" customFormat="1" ht="51" x14ac:dyDescent="0.25">
      <c r="A58" s="186" t="s">
        <v>1524</v>
      </c>
      <c r="B58" s="187" t="s">
        <v>1525</v>
      </c>
      <c r="C58" s="188" t="s">
        <v>350</v>
      </c>
      <c r="D58" s="189">
        <f>Quantitativos!J53</f>
        <v>171</v>
      </c>
      <c r="E58" s="190" t="s">
        <v>152</v>
      </c>
    </row>
    <row r="59" spans="1:5" s="185" customFormat="1" ht="38.25" x14ac:dyDescent="0.25">
      <c r="A59" s="186" t="s">
        <v>1526</v>
      </c>
      <c r="B59" s="187" t="s">
        <v>1527</v>
      </c>
      <c r="C59" s="188" t="s">
        <v>350</v>
      </c>
      <c r="D59" s="189" t="s">
        <v>1528</v>
      </c>
      <c r="E59" s="190" t="s">
        <v>1571</v>
      </c>
    </row>
    <row r="60" spans="1:5" s="185" customFormat="1" x14ac:dyDescent="0.25">
      <c r="A60" s="184" t="s">
        <v>1529</v>
      </c>
      <c r="B60" s="267" t="s">
        <v>1530</v>
      </c>
      <c r="C60" s="268"/>
      <c r="D60" s="268"/>
      <c r="E60" s="183"/>
    </row>
    <row r="61" spans="1:5" s="185" customFormat="1" ht="25.5" x14ac:dyDescent="0.25">
      <c r="A61" s="186" t="s">
        <v>1531</v>
      </c>
      <c r="B61" s="187" t="s">
        <v>1532</v>
      </c>
      <c r="C61" s="188" t="s">
        <v>339</v>
      </c>
      <c r="D61" s="189" t="s">
        <v>1066</v>
      </c>
      <c r="E61" s="190" t="s">
        <v>1572</v>
      </c>
    </row>
    <row r="62" spans="1:5" s="185" customFormat="1" ht="12.75" customHeight="1" x14ac:dyDescent="0.25">
      <c r="A62" s="184" t="s">
        <v>8</v>
      </c>
      <c r="B62" s="267" t="s">
        <v>1533</v>
      </c>
      <c r="C62" s="268"/>
      <c r="D62" s="268"/>
      <c r="E62" s="183"/>
    </row>
    <row r="63" spans="1:5" s="185" customFormat="1" ht="51" x14ac:dyDescent="0.25">
      <c r="A63" s="186" t="s">
        <v>1534</v>
      </c>
      <c r="B63" s="187" t="s">
        <v>1535</v>
      </c>
      <c r="C63" s="188" t="s">
        <v>948</v>
      </c>
      <c r="D63" s="189">
        <f>Quantitativos!K67</f>
        <v>19.46</v>
      </c>
      <c r="E63" s="190" t="s">
        <v>152</v>
      </c>
    </row>
    <row r="64" spans="1:5" s="185" customFormat="1" x14ac:dyDescent="0.25">
      <c r="A64" s="184" t="s">
        <v>771</v>
      </c>
      <c r="B64" s="267" t="s">
        <v>1536</v>
      </c>
      <c r="C64" s="268"/>
      <c r="D64" s="268"/>
      <c r="E64" s="183"/>
    </row>
    <row r="65" spans="1:5" s="185" customFormat="1" x14ac:dyDescent="0.25">
      <c r="A65" s="184" t="s">
        <v>773</v>
      </c>
      <c r="B65" s="267" t="s">
        <v>1537</v>
      </c>
      <c r="C65" s="268"/>
      <c r="D65" s="268"/>
      <c r="E65" s="183"/>
    </row>
    <row r="66" spans="1:5" s="185" customFormat="1" x14ac:dyDescent="0.25">
      <c r="A66" s="184" t="s">
        <v>1538</v>
      </c>
      <c r="B66" s="267" t="s">
        <v>1539</v>
      </c>
      <c r="C66" s="268"/>
      <c r="D66" s="268"/>
      <c r="E66" s="183"/>
    </row>
    <row r="67" spans="1:5" s="185" customFormat="1" ht="38.25" x14ac:dyDescent="0.25">
      <c r="A67" s="186" t="s">
        <v>1540</v>
      </c>
      <c r="B67" s="187" t="s">
        <v>1541</v>
      </c>
      <c r="C67" s="188" t="s">
        <v>350</v>
      </c>
      <c r="D67" s="189" t="s">
        <v>1542</v>
      </c>
      <c r="E67" s="190" t="s">
        <v>777</v>
      </c>
    </row>
    <row r="68" spans="1:5" s="185" customFormat="1" ht="63.75" x14ac:dyDescent="0.25">
      <c r="A68" s="186" t="s">
        <v>1543</v>
      </c>
      <c r="B68" s="187" t="s">
        <v>1544</v>
      </c>
      <c r="C68" s="188" t="s">
        <v>350</v>
      </c>
      <c r="D68" s="189" t="s">
        <v>1410</v>
      </c>
      <c r="E68" s="190" t="s">
        <v>777</v>
      </c>
    </row>
    <row r="69" spans="1:5" s="185" customFormat="1" x14ac:dyDescent="0.25">
      <c r="A69" s="184" t="s">
        <v>1545</v>
      </c>
      <c r="B69" s="267" t="s">
        <v>1546</v>
      </c>
      <c r="C69" s="268"/>
      <c r="D69" s="268"/>
      <c r="E69" s="183"/>
    </row>
    <row r="70" spans="1:5" s="185" customFormat="1" ht="63.75" x14ac:dyDescent="0.25">
      <c r="A70" s="186" t="s">
        <v>1547</v>
      </c>
      <c r="B70" s="187" t="s">
        <v>1548</v>
      </c>
      <c r="C70" s="188" t="s">
        <v>339</v>
      </c>
      <c r="D70" s="189" t="s">
        <v>1102</v>
      </c>
      <c r="E70" s="190" t="s">
        <v>1573</v>
      </c>
    </row>
    <row r="71" spans="1:5" s="185" customFormat="1" ht="51" x14ac:dyDescent="0.25">
      <c r="A71" s="186" t="s">
        <v>1549</v>
      </c>
      <c r="B71" s="187" t="s">
        <v>1550</v>
      </c>
      <c r="C71" s="188" t="s">
        <v>339</v>
      </c>
      <c r="D71" s="189" t="s">
        <v>1102</v>
      </c>
      <c r="E71" s="190" t="s">
        <v>1573</v>
      </c>
    </row>
    <row r="72" spans="1:5" s="185" customFormat="1" x14ac:dyDescent="0.25">
      <c r="A72" s="184" t="s">
        <v>810</v>
      </c>
      <c r="B72" s="267" t="s">
        <v>1551</v>
      </c>
      <c r="C72" s="268"/>
      <c r="D72" s="268"/>
      <c r="E72" s="183"/>
    </row>
    <row r="73" spans="1:5" s="185" customFormat="1" x14ac:dyDescent="0.25">
      <c r="A73" s="184" t="s">
        <v>1552</v>
      </c>
      <c r="B73" s="267" t="s">
        <v>1553</v>
      </c>
      <c r="C73" s="268"/>
      <c r="D73" s="268"/>
      <c r="E73" s="183"/>
    </row>
    <row r="74" spans="1:5" s="185" customFormat="1" ht="51" x14ac:dyDescent="0.25">
      <c r="A74" s="186" t="s">
        <v>1554</v>
      </c>
      <c r="B74" s="187" t="s">
        <v>1555</v>
      </c>
      <c r="C74" s="188" t="s">
        <v>948</v>
      </c>
      <c r="D74" s="189" t="s">
        <v>1556</v>
      </c>
      <c r="E74" s="190" t="s">
        <v>1574</v>
      </c>
    </row>
    <row r="75" spans="1:5" s="185" customFormat="1" x14ac:dyDescent="0.25">
      <c r="A75" s="184" t="s">
        <v>818</v>
      </c>
      <c r="B75" s="267" t="s">
        <v>1557</v>
      </c>
      <c r="C75" s="268"/>
      <c r="D75" s="268"/>
      <c r="E75" s="183"/>
    </row>
    <row r="76" spans="1:5" s="185" customFormat="1" ht="89.25" x14ac:dyDescent="0.25">
      <c r="A76" s="186" t="s">
        <v>1558</v>
      </c>
      <c r="B76" s="187" t="s">
        <v>1559</v>
      </c>
      <c r="C76" s="188" t="s">
        <v>948</v>
      </c>
      <c r="D76" s="189">
        <f>Quantitativos!K75</f>
        <v>847.05</v>
      </c>
      <c r="E76" s="190" t="s">
        <v>152</v>
      </c>
    </row>
    <row r="77" spans="1:5" s="185" customFormat="1" ht="51" x14ac:dyDescent="0.25">
      <c r="A77" s="186" t="s">
        <v>1560</v>
      </c>
      <c r="B77" s="187" t="s">
        <v>1561</v>
      </c>
      <c r="C77" s="188" t="s">
        <v>1562</v>
      </c>
      <c r="D77" s="189" t="s">
        <v>1563</v>
      </c>
      <c r="E77" s="190" t="s">
        <v>1575</v>
      </c>
    </row>
    <row r="78" spans="1:5" x14ac:dyDescent="0.25">
      <c r="A78" s="165" t="s">
        <v>460</v>
      </c>
      <c r="B78" s="263" t="s">
        <v>463</v>
      </c>
      <c r="C78" s="264"/>
      <c r="D78" s="264"/>
      <c r="E78" s="264"/>
    </row>
    <row r="79" spans="1:5" x14ac:dyDescent="0.25">
      <c r="A79" s="165" t="s">
        <v>563</v>
      </c>
      <c r="B79" s="263" t="s">
        <v>564</v>
      </c>
      <c r="C79" s="264"/>
      <c r="D79" s="264"/>
      <c r="E79" s="264"/>
    </row>
    <row r="80" spans="1:5" x14ac:dyDescent="0.25">
      <c r="A80" s="165" t="s">
        <v>942</v>
      </c>
      <c r="B80" s="263" t="s">
        <v>943</v>
      </c>
      <c r="C80" s="264"/>
      <c r="D80" s="264"/>
      <c r="E80" s="264"/>
    </row>
    <row r="81" spans="1:5" x14ac:dyDescent="0.25">
      <c r="A81" s="165" t="s">
        <v>944</v>
      </c>
      <c r="B81" s="263" t="s">
        <v>945</v>
      </c>
      <c r="C81" s="264"/>
      <c r="D81" s="264"/>
      <c r="E81" s="264"/>
    </row>
    <row r="82" spans="1:5" ht="38.25" x14ac:dyDescent="0.25">
      <c r="A82" s="166" t="s">
        <v>946</v>
      </c>
      <c r="B82" s="167" t="s">
        <v>947</v>
      </c>
      <c r="C82" s="168" t="s">
        <v>948</v>
      </c>
      <c r="D82" s="169">
        <f>Quantitativos!K82</f>
        <v>31.87</v>
      </c>
      <c r="E82" s="162" t="s">
        <v>152</v>
      </c>
    </row>
    <row r="83" spans="1:5" x14ac:dyDescent="0.25">
      <c r="A83" s="165" t="s">
        <v>779</v>
      </c>
      <c r="B83" s="263" t="s">
        <v>949</v>
      </c>
      <c r="C83" s="264"/>
      <c r="D83" s="264"/>
      <c r="E83" s="264"/>
    </row>
    <row r="84" spans="1:5" x14ac:dyDescent="0.25">
      <c r="A84" s="165" t="s">
        <v>950</v>
      </c>
      <c r="B84" s="263" t="s">
        <v>951</v>
      </c>
      <c r="C84" s="264"/>
      <c r="D84" s="264"/>
      <c r="E84" s="264"/>
    </row>
    <row r="85" spans="1:5" ht="38.25" x14ac:dyDescent="0.25">
      <c r="A85" s="166" t="s">
        <v>952</v>
      </c>
      <c r="B85" s="167" t="s">
        <v>953</v>
      </c>
      <c r="C85" s="168" t="s">
        <v>350</v>
      </c>
      <c r="D85" s="169">
        <f>Quantitativos!J90</f>
        <v>442.75</v>
      </c>
      <c r="E85" s="162" t="s">
        <v>152</v>
      </c>
    </row>
    <row r="86" spans="1:5" x14ac:dyDescent="0.25">
      <c r="A86" s="165" t="s">
        <v>462</v>
      </c>
      <c r="B86" s="263" t="s">
        <v>461</v>
      </c>
      <c r="C86" s="264"/>
      <c r="D86" s="264"/>
      <c r="E86" s="264"/>
    </row>
    <row r="87" spans="1:5" ht="25.5" x14ac:dyDescent="0.25">
      <c r="A87" s="166" t="s">
        <v>954</v>
      </c>
      <c r="B87" s="167" t="s">
        <v>955</v>
      </c>
      <c r="C87" s="168" t="s">
        <v>350</v>
      </c>
      <c r="D87" s="169">
        <f>Quantitativos!J97</f>
        <v>7.6</v>
      </c>
      <c r="E87" s="162" t="s">
        <v>152</v>
      </c>
    </row>
    <row r="88" spans="1:5" x14ac:dyDescent="0.25">
      <c r="A88" s="165" t="s">
        <v>574</v>
      </c>
      <c r="B88" s="263" t="s">
        <v>956</v>
      </c>
      <c r="C88" s="264"/>
      <c r="D88" s="264"/>
      <c r="E88" s="264"/>
    </row>
    <row r="89" spans="1:5" ht="102" x14ac:dyDescent="0.25">
      <c r="A89" s="166" t="s">
        <v>957</v>
      </c>
      <c r="B89" s="167" t="s">
        <v>958</v>
      </c>
      <c r="C89" s="168" t="s">
        <v>350</v>
      </c>
      <c r="D89" s="169">
        <f>Quantitativos!J106</f>
        <v>5.13</v>
      </c>
      <c r="E89" s="162" t="s">
        <v>152</v>
      </c>
    </row>
    <row r="90" spans="1:5" ht="76.5" x14ac:dyDescent="0.25">
      <c r="A90" s="166" t="s">
        <v>959</v>
      </c>
      <c r="B90" s="167" t="s">
        <v>960</v>
      </c>
      <c r="C90" s="168" t="s">
        <v>948</v>
      </c>
      <c r="D90" s="169">
        <f>Quantitativos!K115</f>
        <v>0.24</v>
      </c>
      <c r="E90" s="162" t="s">
        <v>152</v>
      </c>
    </row>
    <row r="91" spans="1:5" ht="89.25" x14ac:dyDescent="0.25">
      <c r="A91" s="166" t="s">
        <v>961</v>
      </c>
      <c r="B91" s="167" t="s">
        <v>962</v>
      </c>
      <c r="C91" s="168" t="s">
        <v>343</v>
      </c>
      <c r="D91" s="169" t="s">
        <v>963</v>
      </c>
      <c r="E91" s="162" t="s">
        <v>576</v>
      </c>
    </row>
    <row r="92" spans="1:5" ht="89.25" x14ac:dyDescent="0.25">
      <c r="A92" s="166" t="s">
        <v>964</v>
      </c>
      <c r="B92" s="167" t="s">
        <v>965</v>
      </c>
      <c r="C92" s="168" t="s">
        <v>343</v>
      </c>
      <c r="D92" s="169" t="s">
        <v>963</v>
      </c>
      <c r="E92" s="162" t="s">
        <v>576</v>
      </c>
    </row>
    <row r="93" spans="1:5" ht="89.25" x14ac:dyDescent="0.25">
      <c r="A93" s="166" t="s">
        <v>966</v>
      </c>
      <c r="B93" s="167" t="s">
        <v>967</v>
      </c>
      <c r="C93" s="168" t="s">
        <v>343</v>
      </c>
      <c r="D93" s="169" t="s">
        <v>968</v>
      </c>
      <c r="E93" s="162" t="s">
        <v>576</v>
      </c>
    </row>
    <row r="94" spans="1:5" x14ac:dyDescent="0.25">
      <c r="A94" s="165" t="s">
        <v>540</v>
      </c>
      <c r="B94" s="263" t="s">
        <v>969</v>
      </c>
      <c r="C94" s="264"/>
      <c r="D94" s="264"/>
      <c r="E94" s="264"/>
    </row>
    <row r="95" spans="1:5" ht="76.5" x14ac:dyDescent="0.25">
      <c r="A95" s="166" t="s">
        <v>970</v>
      </c>
      <c r="B95" s="167" t="s">
        <v>971</v>
      </c>
      <c r="C95" s="168" t="s">
        <v>350</v>
      </c>
      <c r="D95" s="169" t="s">
        <v>972</v>
      </c>
      <c r="E95" s="162" t="s">
        <v>548</v>
      </c>
    </row>
    <row r="96" spans="1:5" ht="51" x14ac:dyDescent="0.25">
      <c r="A96" s="166" t="s">
        <v>973</v>
      </c>
      <c r="B96" s="167" t="s">
        <v>974</v>
      </c>
      <c r="C96" s="168" t="s">
        <v>343</v>
      </c>
      <c r="D96" s="169" t="s">
        <v>975</v>
      </c>
      <c r="E96" s="162" t="s">
        <v>560</v>
      </c>
    </row>
    <row r="97" spans="1:5" ht="51" x14ac:dyDescent="0.25">
      <c r="A97" s="166" t="s">
        <v>976</v>
      </c>
      <c r="B97" s="167" t="s">
        <v>977</v>
      </c>
      <c r="C97" s="168" t="s">
        <v>343</v>
      </c>
      <c r="D97" s="169" t="s">
        <v>978</v>
      </c>
      <c r="E97" s="162" t="s">
        <v>560</v>
      </c>
    </row>
    <row r="98" spans="1:5" ht="51" x14ac:dyDescent="0.25">
      <c r="A98" s="166" t="s">
        <v>979</v>
      </c>
      <c r="B98" s="167" t="s">
        <v>980</v>
      </c>
      <c r="C98" s="168" t="s">
        <v>343</v>
      </c>
      <c r="D98" s="169" t="s">
        <v>981</v>
      </c>
      <c r="E98" s="162" t="s">
        <v>560</v>
      </c>
    </row>
    <row r="99" spans="1:5" ht="51" x14ac:dyDescent="0.25">
      <c r="A99" s="166" t="s">
        <v>982</v>
      </c>
      <c r="B99" s="167" t="s">
        <v>983</v>
      </c>
      <c r="C99" s="168" t="s">
        <v>343</v>
      </c>
      <c r="D99" s="169" t="s">
        <v>984</v>
      </c>
      <c r="E99" s="162" t="s">
        <v>560</v>
      </c>
    </row>
    <row r="100" spans="1:5" ht="51" x14ac:dyDescent="0.25">
      <c r="A100" s="166" t="s">
        <v>985</v>
      </c>
      <c r="B100" s="167" t="s">
        <v>986</v>
      </c>
      <c r="C100" s="168" t="s">
        <v>343</v>
      </c>
      <c r="D100" s="169" t="s">
        <v>987</v>
      </c>
      <c r="E100" s="162" t="s">
        <v>560</v>
      </c>
    </row>
    <row r="101" spans="1:5" ht="51" x14ac:dyDescent="0.25">
      <c r="A101" s="166" t="s">
        <v>988</v>
      </c>
      <c r="B101" s="167" t="s">
        <v>989</v>
      </c>
      <c r="C101" s="168" t="s">
        <v>343</v>
      </c>
      <c r="D101" s="169" t="s">
        <v>990</v>
      </c>
      <c r="E101" s="162" t="s">
        <v>561</v>
      </c>
    </row>
    <row r="102" spans="1:5" ht="63.75" x14ac:dyDescent="0.25">
      <c r="A102" s="166" t="s">
        <v>991</v>
      </c>
      <c r="B102" s="167" t="s">
        <v>992</v>
      </c>
      <c r="C102" s="168" t="s">
        <v>948</v>
      </c>
      <c r="D102" s="169" t="s">
        <v>993</v>
      </c>
      <c r="E102" s="162" t="s">
        <v>548</v>
      </c>
    </row>
    <row r="103" spans="1:5" x14ac:dyDescent="0.25">
      <c r="A103" s="165" t="s">
        <v>565</v>
      </c>
      <c r="B103" s="263" t="s">
        <v>994</v>
      </c>
      <c r="C103" s="264"/>
      <c r="D103" s="264"/>
      <c r="E103" s="264"/>
    </row>
    <row r="104" spans="1:5" ht="76.5" x14ac:dyDescent="0.25">
      <c r="A104" s="166" t="s">
        <v>995</v>
      </c>
      <c r="B104" s="167" t="s">
        <v>996</v>
      </c>
      <c r="C104" s="168" t="s">
        <v>350</v>
      </c>
      <c r="D104" s="169" t="s">
        <v>997</v>
      </c>
      <c r="E104" s="162" t="s">
        <v>1414</v>
      </c>
    </row>
    <row r="105" spans="1:5" ht="89.25" x14ac:dyDescent="0.25">
      <c r="A105" s="166" t="s">
        <v>998</v>
      </c>
      <c r="B105" s="167" t="s">
        <v>999</v>
      </c>
      <c r="C105" s="168" t="s">
        <v>343</v>
      </c>
      <c r="D105" s="169" t="s">
        <v>1000</v>
      </c>
      <c r="E105" s="162" t="s">
        <v>569</v>
      </c>
    </row>
    <row r="106" spans="1:5" ht="89.25" x14ac:dyDescent="0.25">
      <c r="A106" s="166" t="s">
        <v>1001</v>
      </c>
      <c r="B106" s="167" t="s">
        <v>1002</v>
      </c>
      <c r="C106" s="168" t="s">
        <v>343</v>
      </c>
      <c r="D106" s="169" t="s">
        <v>1003</v>
      </c>
      <c r="E106" s="162" t="s">
        <v>571</v>
      </c>
    </row>
    <row r="107" spans="1:5" ht="51" x14ac:dyDescent="0.25">
      <c r="A107" s="166" t="s">
        <v>1004</v>
      </c>
      <c r="B107" s="167" t="s">
        <v>1005</v>
      </c>
      <c r="C107" s="168" t="s">
        <v>948</v>
      </c>
      <c r="D107" s="169" t="s">
        <v>1006</v>
      </c>
      <c r="E107" s="162" t="s">
        <v>548</v>
      </c>
    </row>
    <row r="108" spans="1:5" x14ac:dyDescent="0.25">
      <c r="A108" s="165" t="s">
        <v>464</v>
      </c>
      <c r="B108" s="263" t="s">
        <v>1007</v>
      </c>
      <c r="C108" s="264"/>
      <c r="D108" s="264"/>
      <c r="E108" s="264"/>
    </row>
    <row r="109" spans="1:5" ht="63.75" x14ac:dyDescent="0.25">
      <c r="A109" s="166">
        <v>7156</v>
      </c>
      <c r="B109" s="167" t="s">
        <v>1008</v>
      </c>
      <c r="C109" s="168" t="s">
        <v>350</v>
      </c>
      <c r="D109" s="169">
        <f>Quantitativos!J182</f>
        <v>59.32</v>
      </c>
      <c r="E109" s="162" t="s">
        <v>152</v>
      </c>
    </row>
    <row r="110" spans="1:5" ht="102" x14ac:dyDescent="0.25">
      <c r="A110" s="166" t="s">
        <v>1009</v>
      </c>
      <c r="B110" s="167" t="s">
        <v>1010</v>
      </c>
      <c r="C110" s="168" t="s">
        <v>350</v>
      </c>
      <c r="D110" s="169">
        <f>Quantitativos!J158</f>
        <v>90.46</v>
      </c>
      <c r="E110" s="162" t="s">
        <v>152</v>
      </c>
    </row>
    <row r="111" spans="1:5" ht="51" x14ac:dyDescent="0.25">
      <c r="A111" s="166" t="s">
        <v>1011</v>
      </c>
      <c r="B111" s="167" t="s">
        <v>1012</v>
      </c>
      <c r="C111" s="168" t="s">
        <v>948</v>
      </c>
      <c r="D111" s="169">
        <f>Quantitativos!K225</f>
        <v>4.16</v>
      </c>
      <c r="E111" s="162" t="s">
        <v>152</v>
      </c>
    </row>
    <row r="112" spans="1:5" ht="38.25" x14ac:dyDescent="0.25">
      <c r="A112" s="166" t="s">
        <v>1013</v>
      </c>
      <c r="B112" s="167" t="s">
        <v>1014</v>
      </c>
      <c r="C112" s="168" t="s">
        <v>366</v>
      </c>
      <c r="D112" s="169">
        <f>Quantitativos!I249</f>
        <v>89.34</v>
      </c>
      <c r="E112" s="162" t="s">
        <v>152</v>
      </c>
    </row>
    <row r="113" spans="1:5" x14ac:dyDescent="0.25">
      <c r="A113" s="165" t="s">
        <v>573</v>
      </c>
      <c r="B113" s="263" t="s">
        <v>1015</v>
      </c>
      <c r="C113" s="264"/>
      <c r="D113" s="264"/>
      <c r="E113" s="264"/>
    </row>
    <row r="114" spans="1:5" x14ac:dyDescent="0.25">
      <c r="A114" s="165" t="s">
        <v>1016</v>
      </c>
      <c r="B114" s="263" t="s">
        <v>1017</v>
      </c>
      <c r="C114" s="264"/>
      <c r="D114" s="264"/>
      <c r="E114" s="264"/>
    </row>
    <row r="115" spans="1:5" ht="25.5" x14ac:dyDescent="0.25">
      <c r="A115" s="166" t="s">
        <v>1018</v>
      </c>
      <c r="B115" s="167" t="s">
        <v>1019</v>
      </c>
      <c r="C115" s="168" t="s">
        <v>948</v>
      </c>
      <c r="D115" s="169">
        <f>Quantitativos!K280</f>
        <v>70.483999999999995</v>
      </c>
      <c r="E115" s="162" t="s">
        <v>152</v>
      </c>
    </row>
    <row r="116" spans="1:5" x14ac:dyDescent="0.25">
      <c r="A116" s="165" t="s">
        <v>1020</v>
      </c>
      <c r="B116" s="263" t="s">
        <v>994</v>
      </c>
      <c r="C116" s="264"/>
      <c r="D116" s="264"/>
      <c r="E116" s="264"/>
    </row>
    <row r="117" spans="1:5" ht="38.25" x14ac:dyDescent="0.25">
      <c r="A117" s="166" t="s">
        <v>1021</v>
      </c>
      <c r="B117" s="167" t="s">
        <v>1022</v>
      </c>
      <c r="C117" s="168" t="s">
        <v>350</v>
      </c>
      <c r="D117" s="169">
        <f>Quantitativos!J314</f>
        <v>1300.17</v>
      </c>
      <c r="E117" s="162" t="s">
        <v>152</v>
      </c>
    </row>
    <row r="118" spans="1:5" x14ac:dyDescent="0.25">
      <c r="A118" s="165" t="s">
        <v>10</v>
      </c>
      <c r="B118" s="263" t="s">
        <v>12</v>
      </c>
      <c r="C118" s="264"/>
      <c r="D118" s="264"/>
      <c r="E118" s="264"/>
    </row>
    <row r="119" spans="1:5" x14ac:dyDescent="0.25">
      <c r="A119" s="165" t="s">
        <v>13</v>
      </c>
      <c r="B119" s="263" t="s">
        <v>11</v>
      </c>
      <c r="C119" s="264"/>
      <c r="D119" s="264"/>
      <c r="E119" s="264"/>
    </row>
    <row r="120" spans="1:5" x14ac:dyDescent="0.25">
      <c r="A120" s="165" t="s">
        <v>55</v>
      </c>
      <c r="B120" s="263" t="s">
        <v>1023</v>
      </c>
      <c r="C120" s="264"/>
      <c r="D120" s="264"/>
      <c r="E120" s="264"/>
    </row>
    <row r="121" spans="1:5" ht="63.75" x14ac:dyDescent="0.25">
      <c r="A121" s="166" t="s">
        <v>1024</v>
      </c>
      <c r="B121" s="167" t="s">
        <v>1025</v>
      </c>
      <c r="C121" s="168" t="s">
        <v>350</v>
      </c>
      <c r="D121" s="169">
        <f>Quantitativos!J345</f>
        <v>58.1</v>
      </c>
      <c r="E121" s="162" t="s">
        <v>152</v>
      </c>
    </row>
    <row r="122" spans="1:5" x14ac:dyDescent="0.25">
      <c r="A122" s="165" t="s">
        <v>1026</v>
      </c>
      <c r="B122" s="263" t="s">
        <v>1027</v>
      </c>
      <c r="C122" s="264"/>
      <c r="D122" s="264"/>
      <c r="E122" s="264"/>
    </row>
    <row r="123" spans="1:5" ht="102" x14ac:dyDescent="0.25">
      <c r="A123" s="166" t="s">
        <v>1028</v>
      </c>
      <c r="B123" s="167" t="s">
        <v>1029</v>
      </c>
      <c r="C123" s="168" t="s">
        <v>350</v>
      </c>
      <c r="D123" s="169">
        <f>Quantitativos!J357</f>
        <v>1287.31</v>
      </c>
      <c r="E123" s="162" t="s">
        <v>152</v>
      </c>
    </row>
    <row r="124" spans="1:5" ht="114.75" x14ac:dyDescent="0.25">
      <c r="A124" s="166" t="s">
        <v>1030</v>
      </c>
      <c r="B124" s="167" t="s">
        <v>1031</v>
      </c>
      <c r="C124" s="168" t="s">
        <v>350</v>
      </c>
      <c r="D124" s="169">
        <f>Quantitativos!J369</f>
        <v>347.34</v>
      </c>
      <c r="E124" s="162" t="s">
        <v>152</v>
      </c>
    </row>
    <row r="125" spans="1:5" x14ac:dyDescent="0.25">
      <c r="A125" s="165" t="s">
        <v>67</v>
      </c>
      <c r="B125" s="263" t="s">
        <v>1032</v>
      </c>
      <c r="C125" s="264"/>
      <c r="D125" s="264"/>
      <c r="E125" s="264"/>
    </row>
    <row r="126" spans="1:5" ht="38.25" x14ac:dyDescent="0.25">
      <c r="A126" s="166" t="s">
        <v>1033</v>
      </c>
      <c r="B126" s="167" t="s">
        <v>1034</v>
      </c>
      <c r="C126" s="168" t="s">
        <v>350</v>
      </c>
      <c r="D126" s="169">
        <f>Quantitativos!J378</f>
        <v>97.52</v>
      </c>
      <c r="E126" s="162" t="s">
        <v>152</v>
      </c>
    </row>
    <row r="127" spans="1:5" x14ac:dyDescent="0.25">
      <c r="A127" s="165" t="s">
        <v>69</v>
      </c>
      <c r="B127" s="263" t="s">
        <v>1035</v>
      </c>
      <c r="C127" s="264"/>
      <c r="D127" s="264"/>
      <c r="E127" s="264"/>
    </row>
    <row r="128" spans="1:5" ht="63.75" x14ac:dyDescent="0.25">
      <c r="A128" s="166" t="s">
        <v>1036</v>
      </c>
      <c r="B128" s="167" t="s">
        <v>1037</v>
      </c>
      <c r="C128" s="168" t="s">
        <v>350</v>
      </c>
      <c r="D128" s="169">
        <f>Quantitativos!J392</f>
        <v>13.94</v>
      </c>
      <c r="E128" s="162" t="s">
        <v>152</v>
      </c>
    </row>
    <row r="129" spans="1:5" x14ac:dyDescent="0.25">
      <c r="A129" s="165" t="s">
        <v>1038</v>
      </c>
      <c r="B129" s="263" t="s">
        <v>1039</v>
      </c>
      <c r="C129" s="264"/>
      <c r="D129" s="264"/>
      <c r="E129" s="264"/>
    </row>
    <row r="130" spans="1:5" ht="76.5" x14ac:dyDescent="0.25">
      <c r="A130" s="166" t="s">
        <v>1040</v>
      </c>
      <c r="B130" s="167" t="s">
        <v>1041</v>
      </c>
      <c r="C130" s="168" t="s">
        <v>350</v>
      </c>
      <c r="D130" s="169">
        <f>Quantitativos!J401</f>
        <v>222.22</v>
      </c>
      <c r="E130" s="162" t="s">
        <v>152</v>
      </c>
    </row>
    <row r="131" spans="1:5" ht="76.5" x14ac:dyDescent="0.25">
      <c r="A131" s="166" t="s">
        <v>1042</v>
      </c>
      <c r="B131" s="167" t="s">
        <v>1043</v>
      </c>
      <c r="C131" s="168" t="s">
        <v>350</v>
      </c>
      <c r="D131" s="169">
        <f>Quantitativos!J411</f>
        <v>28.56</v>
      </c>
      <c r="E131" s="162" t="s">
        <v>152</v>
      </c>
    </row>
    <row r="132" spans="1:5" ht="38.25" x14ac:dyDescent="0.25">
      <c r="A132" s="166" t="s">
        <v>1044</v>
      </c>
      <c r="B132" s="167" t="s">
        <v>1045</v>
      </c>
      <c r="C132" s="168" t="s">
        <v>350</v>
      </c>
      <c r="D132" s="169">
        <f>D130+D131</f>
        <v>250.78</v>
      </c>
      <c r="E132" s="162" t="s">
        <v>1415</v>
      </c>
    </row>
    <row r="133" spans="1:5" x14ac:dyDescent="0.25">
      <c r="A133" s="165" t="s">
        <v>61</v>
      </c>
      <c r="B133" s="263" t="s">
        <v>1046</v>
      </c>
      <c r="C133" s="264"/>
      <c r="D133" s="264"/>
      <c r="E133" s="264"/>
    </row>
    <row r="134" spans="1:5" x14ac:dyDescent="0.25">
      <c r="A134" s="165" t="s">
        <v>1047</v>
      </c>
      <c r="B134" s="263" t="s">
        <v>1048</v>
      </c>
      <c r="C134" s="264"/>
      <c r="D134" s="264"/>
      <c r="E134" s="264"/>
    </row>
    <row r="135" spans="1:5" ht="63.75" x14ac:dyDescent="0.25">
      <c r="A135" s="166" t="s">
        <v>1049</v>
      </c>
      <c r="B135" s="167" t="s">
        <v>1050</v>
      </c>
      <c r="C135" s="168" t="s">
        <v>366</v>
      </c>
      <c r="D135" s="169">
        <f>Quantitativos!I419</f>
        <v>137.75</v>
      </c>
      <c r="E135" s="162" t="s">
        <v>152</v>
      </c>
    </row>
    <row r="136" spans="1:5" ht="51" x14ac:dyDescent="0.25">
      <c r="A136" s="166" t="s">
        <v>1051</v>
      </c>
      <c r="B136" s="167" t="s">
        <v>1052</v>
      </c>
      <c r="C136" s="168" t="s">
        <v>366</v>
      </c>
      <c r="D136" s="169">
        <f>Quantitativos!I431</f>
        <v>223.06000000000006</v>
      </c>
      <c r="E136" s="162" t="s">
        <v>152</v>
      </c>
    </row>
    <row r="137" spans="1:5" x14ac:dyDescent="0.25">
      <c r="A137" s="165" t="s">
        <v>1053</v>
      </c>
      <c r="B137" s="263" t="s">
        <v>1054</v>
      </c>
      <c r="C137" s="264"/>
      <c r="D137" s="264"/>
      <c r="E137" s="264"/>
    </row>
    <row r="138" spans="1:5" ht="51" x14ac:dyDescent="0.25">
      <c r="A138" s="166" t="s">
        <v>1055</v>
      </c>
      <c r="B138" s="167" t="s">
        <v>1056</v>
      </c>
      <c r="C138" s="168" t="s">
        <v>366</v>
      </c>
      <c r="D138" s="169">
        <f>Quantitativos!I441</f>
        <v>401.65</v>
      </c>
      <c r="E138" s="162" t="s">
        <v>152</v>
      </c>
    </row>
    <row r="139" spans="1:5" x14ac:dyDescent="0.25">
      <c r="A139" s="165" t="s">
        <v>1057</v>
      </c>
      <c r="B139" s="263" t="s">
        <v>1058</v>
      </c>
      <c r="C139" s="264"/>
      <c r="D139" s="264"/>
      <c r="E139" s="264"/>
    </row>
    <row r="140" spans="1:5" ht="76.5" x14ac:dyDescent="0.25">
      <c r="A140" s="166" t="s">
        <v>1059</v>
      </c>
      <c r="B140" s="167" t="s">
        <v>1060</v>
      </c>
      <c r="C140" s="168" t="s">
        <v>339</v>
      </c>
      <c r="D140" s="169" t="s">
        <v>1061</v>
      </c>
      <c r="E140" s="162" t="s">
        <v>169</v>
      </c>
    </row>
    <row r="141" spans="1:5" ht="76.5" x14ac:dyDescent="0.25">
      <c r="A141" s="166" t="s">
        <v>1062</v>
      </c>
      <c r="B141" s="167" t="s">
        <v>1063</v>
      </c>
      <c r="C141" s="168" t="s">
        <v>339</v>
      </c>
      <c r="D141" s="169" t="s">
        <v>1061</v>
      </c>
      <c r="E141" s="162" t="s">
        <v>169</v>
      </c>
    </row>
    <row r="142" spans="1:5" ht="76.5" x14ac:dyDescent="0.25">
      <c r="A142" s="166" t="s">
        <v>1064</v>
      </c>
      <c r="B142" s="167" t="s">
        <v>1065</v>
      </c>
      <c r="C142" s="168" t="s">
        <v>339</v>
      </c>
      <c r="D142" s="169" t="s">
        <v>1066</v>
      </c>
      <c r="E142" s="162" t="s">
        <v>169</v>
      </c>
    </row>
    <row r="143" spans="1:5" ht="76.5" x14ac:dyDescent="0.25">
      <c r="A143" s="166" t="s">
        <v>1067</v>
      </c>
      <c r="B143" s="167" t="s">
        <v>1068</v>
      </c>
      <c r="C143" s="168" t="s">
        <v>339</v>
      </c>
      <c r="D143" s="169" t="s">
        <v>1069</v>
      </c>
      <c r="E143" s="162" t="s">
        <v>169</v>
      </c>
    </row>
    <row r="144" spans="1:5" ht="76.5" x14ac:dyDescent="0.25">
      <c r="A144" s="166" t="s">
        <v>1070</v>
      </c>
      <c r="B144" s="167" t="s">
        <v>1071</v>
      </c>
      <c r="C144" s="168" t="s">
        <v>339</v>
      </c>
      <c r="D144" s="169" t="s">
        <v>1061</v>
      </c>
      <c r="E144" s="162" t="s">
        <v>169</v>
      </c>
    </row>
    <row r="145" spans="1:5" ht="89.25" x14ac:dyDescent="0.25">
      <c r="A145" s="166" t="s">
        <v>1072</v>
      </c>
      <c r="B145" s="167" t="s">
        <v>1073</v>
      </c>
      <c r="C145" s="168" t="s">
        <v>339</v>
      </c>
      <c r="D145" s="169">
        <v>2</v>
      </c>
      <c r="E145" s="162" t="s">
        <v>169</v>
      </c>
    </row>
    <row r="146" spans="1:5" x14ac:dyDescent="0.25">
      <c r="A146" s="165" t="s">
        <v>1074</v>
      </c>
      <c r="B146" s="263" t="s">
        <v>1075</v>
      </c>
      <c r="C146" s="264"/>
      <c r="D146" s="264"/>
      <c r="E146" s="264"/>
    </row>
    <row r="147" spans="1:5" ht="76.5" x14ac:dyDescent="0.25">
      <c r="A147" s="166" t="s">
        <v>1076</v>
      </c>
      <c r="B147" s="167" t="s">
        <v>1077</v>
      </c>
      <c r="C147" s="168" t="s">
        <v>339</v>
      </c>
      <c r="D147" s="169" t="s">
        <v>1061</v>
      </c>
      <c r="E147" s="162" t="s">
        <v>169</v>
      </c>
    </row>
    <row r="148" spans="1:5" ht="76.5" x14ac:dyDescent="0.25">
      <c r="A148" s="166" t="s">
        <v>1078</v>
      </c>
      <c r="B148" s="167" t="s">
        <v>1079</v>
      </c>
      <c r="C148" s="168" t="s">
        <v>339</v>
      </c>
      <c r="D148" s="169" t="s">
        <v>1061</v>
      </c>
      <c r="E148" s="162" t="s">
        <v>169</v>
      </c>
    </row>
    <row r="149" spans="1:5" ht="76.5" x14ac:dyDescent="0.25">
      <c r="A149" s="166" t="s">
        <v>1080</v>
      </c>
      <c r="B149" s="167" t="s">
        <v>1081</v>
      </c>
      <c r="C149" s="168" t="s">
        <v>339</v>
      </c>
      <c r="D149" s="169" t="s">
        <v>1061</v>
      </c>
      <c r="E149" s="162" t="s">
        <v>169</v>
      </c>
    </row>
    <row r="150" spans="1:5" ht="89.25" x14ac:dyDescent="0.25">
      <c r="A150" s="166" t="s">
        <v>1082</v>
      </c>
      <c r="B150" s="167" t="s">
        <v>1083</v>
      </c>
      <c r="C150" s="168" t="s">
        <v>339</v>
      </c>
      <c r="D150" s="169" t="s">
        <v>1061</v>
      </c>
      <c r="E150" s="162" t="s">
        <v>169</v>
      </c>
    </row>
    <row r="151" spans="1:5" ht="76.5" x14ac:dyDescent="0.25">
      <c r="A151" s="166" t="s">
        <v>1084</v>
      </c>
      <c r="B151" s="167" t="s">
        <v>1085</v>
      </c>
      <c r="C151" s="168" t="s">
        <v>339</v>
      </c>
      <c r="D151" s="169" t="s">
        <v>1061</v>
      </c>
      <c r="E151" s="162" t="s">
        <v>169</v>
      </c>
    </row>
    <row r="152" spans="1:5" ht="76.5" x14ac:dyDescent="0.25">
      <c r="A152" s="166" t="s">
        <v>1086</v>
      </c>
      <c r="B152" s="167" t="s">
        <v>1087</v>
      </c>
      <c r="C152" s="168" t="s">
        <v>339</v>
      </c>
      <c r="D152" s="169" t="s">
        <v>1061</v>
      </c>
      <c r="E152" s="162" t="s">
        <v>169</v>
      </c>
    </row>
    <row r="153" spans="1:5" ht="76.5" x14ac:dyDescent="0.25">
      <c r="A153" s="166" t="s">
        <v>1088</v>
      </c>
      <c r="B153" s="167" t="s">
        <v>1089</v>
      </c>
      <c r="C153" s="168" t="s">
        <v>339</v>
      </c>
      <c r="D153" s="169" t="s">
        <v>1061</v>
      </c>
      <c r="E153" s="162" t="s">
        <v>169</v>
      </c>
    </row>
    <row r="154" spans="1:5" ht="63.75" x14ac:dyDescent="0.25">
      <c r="A154" s="166" t="s">
        <v>1090</v>
      </c>
      <c r="B154" s="167" t="s">
        <v>1091</v>
      </c>
      <c r="C154" s="168" t="s">
        <v>339</v>
      </c>
      <c r="D154" s="169" t="s">
        <v>1061</v>
      </c>
      <c r="E154" s="162" t="s">
        <v>169</v>
      </c>
    </row>
    <row r="155" spans="1:5" ht="89.25" x14ac:dyDescent="0.25">
      <c r="A155" s="166" t="s">
        <v>1092</v>
      </c>
      <c r="B155" s="167" t="s">
        <v>1093</v>
      </c>
      <c r="C155" s="168" t="s">
        <v>339</v>
      </c>
      <c r="D155" s="169" t="s">
        <v>1061</v>
      </c>
      <c r="E155" s="162" t="s">
        <v>169</v>
      </c>
    </row>
    <row r="156" spans="1:5" ht="76.5" x14ac:dyDescent="0.25">
      <c r="A156" s="166" t="s">
        <v>1094</v>
      </c>
      <c r="B156" s="167" t="s">
        <v>1095</v>
      </c>
      <c r="C156" s="168" t="s">
        <v>339</v>
      </c>
      <c r="D156" s="169" t="s">
        <v>1061</v>
      </c>
      <c r="E156" s="162" t="s">
        <v>169</v>
      </c>
    </row>
    <row r="157" spans="1:5" ht="89.25" x14ac:dyDescent="0.25">
      <c r="A157" s="166" t="s">
        <v>1096</v>
      </c>
      <c r="B157" s="167" t="s">
        <v>1097</v>
      </c>
      <c r="C157" s="168" t="s">
        <v>339</v>
      </c>
      <c r="D157" s="169" t="s">
        <v>1061</v>
      </c>
      <c r="E157" s="162" t="s">
        <v>169</v>
      </c>
    </row>
    <row r="158" spans="1:5" ht="89.25" x14ac:dyDescent="0.25">
      <c r="A158" s="166" t="s">
        <v>1098</v>
      </c>
      <c r="B158" s="167" t="s">
        <v>1099</v>
      </c>
      <c r="C158" s="168" t="s">
        <v>339</v>
      </c>
      <c r="D158" s="169" t="s">
        <v>1061</v>
      </c>
      <c r="E158" s="162" t="s">
        <v>169</v>
      </c>
    </row>
    <row r="159" spans="1:5" ht="63.75" x14ac:dyDescent="0.25">
      <c r="A159" s="166" t="s">
        <v>1100</v>
      </c>
      <c r="B159" s="167" t="s">
        <v>1101</v>
      </c>
      <c r="C159" s="168" t="s">
        <v>339</v>
      </c>
      <c r="D159" s="169" t="s">
        <v>1102</v>
      </c>
      <c r="E159" s="162" t="s">
        <v>169</v>
      </c>
    </row>
    <row r="160" spans="1:5" x14ac:dyDescent="0.25">
      <c r="A160" s="165" t="s">
        <v>1103</v>
      </c>
      <c r="B160" s="263" t="s">
        <v>1104</v>
      </c>
      <c r="C160" s="264"/>
      <c r="D160" s="264"/>
      <c r="E160" s="264"/>
    </row>
    <row r="161" spans="1:5" ht="114.75" x14ac:dyDescent="0.25">
      <c r="A161" s="166" t="s">
        <v>1105</v>
      </c>
      <c r="B161" s="167" t="s">
        <v>1106</v>
      </c>
      <c r="C161" s="168" t="s">
        <v>339</v>
      </c>
      <c r="D161" s="169" t="s">
        <v>1107</v>
      </c>
      <c r="E161" s="162" t="s">
        <v>169</v>
      </c>
    </row>
    <row r="162" spans="1:5" ht="114.75" x14ac:dyDescent="0.25">
      <c r="A162" s="166" t="s">
        <v>1108</v>
      </c>
      <c r="B162" s="167" t="s">
        <v>1109</v>
      </c>
      <c r="C162" s="168" t="s">
        <v>339</v>
      </c>
      <c r="D162" s="169" t="s">
        <v>1069</v>
      </c>
      <c r="E162" s="162" t="s">
        <v>169</v>
      </c>
    </row>
    <row r="163" spans="1:5" ht="114.75" x14ac:dyDescent="0.25">
      <c r="A163" s="166" t="s">
        <v>1110</v>
      </c>
      <c r="B163" s="167" t="s">
        <v>1111</v>
      </c>
      <c r="C163" s="168" t="s">
        <v>339</v>
      </c>
      <c r="D163" s="169" t="s">
        <v>1003</v>
      </c>
      <c r="E163" s="162" t="s">
        <v>169</v>
      </c>
    </row>
    <row r="164" spans="1:5" ht="114.75" x14ac:dyDescent="0.25">
      <c r="A164" s="166" t="s">
        <v>1112</v>
      </c>
      <c r="B164" s="167" t="s">
        <v>1113</v>
      </c>
      <c r="C164" s="168" t="s">
        <v>339</v>
      </c>
      <c r="D164" s="169" t="s">
        <v>1102</v>
      </c>
      <c r="E164" s="162" t="s">
        <v>169</v>
      </c>
    </row>
    <row r="165" spans="1:5" ht="114.75" x14ac:dyDescent="0.25">
      <c r="A165" s="166" t="s">
        <v>1114</v>
      </c>
      <c r="B165" s="167" t="s">
        <v>1115</v>
      </c>
      <c r="C165" s="168" t="s">
        <v>339</v>
      </c>
      <c r="D165" s="169" t="s">
        <v>1061</v>
      </c>
      <c r="E165" s="162" t="s">
        <v>169</v>
      </c>
    </row>
    <row r="166" spans="1:5" ht="102" x14ac:dyDescent="0.25">
      <c r="A166" s="166" t="s">
        <v>1116</v>
      </c>
      <c r="B166" s="167" t="s">
        <v>1117</v>
      </c>
      <c r="C166" s="168" t="s">
        <v>339</v>
      </c>
      <c r="D166" s="169" t="s">
        <v>1102</v>
      </c>
      <c r="E166" s="162" t="s">
        <v>169</v>
      </c>
    </row>
    <row r="167" spans="1:5" ht="114.75" x14ac:dyDescent="0.25">
      <c r="A167" s="166" t="s">
        <v>1118</v>
      </c>
      <c r="B167" s="167" t="s">
        <v>1119</v>
      </c>
      <c r="C167" s="168" t="s">
        <v>339</v>
      </c>
      <c r="D167" s="169" t="s">
        <v>1120</v>
      </c>
      <c r="E167" s="162" t="s">
        <v>169</v>
      </c>
    </row>
    <row r="168" spans="1:5" x14ac:dyDescent="0.25">
      <c r="A168" s="165" t="s">
        <v>1121</v>
      </c>
      <c r="B168" s="263" t="s">
        <v>1122</v>
      </c>
      <c r="C168" s="264"/>
      <c r="D168" s="264"/>
      <c r="E168" s="264"/>
    </row>
    <row r="169" spans="1:5" x14ac:dyDescent="0.25">
      <c r="A169" s="165" t="s">
        <v>1123</v>
      </c>
      <c r="B169" s="263" t="s">
        <v>1124</v>
      </c>
      <c r="C169" s="264"/>
      <c r="D169" s="264"/>
      <c r="E169" s="264"/>
    </row>
    <row r="170" spans="1:5" ht="51" x14ac:dyDescent="0.25">
      <c r="A170" s="166">
        <v>10496</v>
      </c>
      <c r="B170" s="167" t="s">
        <v>1125</v>
      </c>
      <c r="C170" s="168" t="s">
        <v>350</v>
      </c>
      <c r="D170" s="169">
        <f>Quantitativos!J460</f>
        <v>199.2</v>
      </c>
      <c r="E170" s="162" t="s">
        <v>152</v>
      </c>
    </row>
    <row r="171" spans="1:5" x14ac:dyDescent="0.25">
      <c r="A171" s="165" t="s">
        <v>1126</v>
      </c>
      <c r="B171" s="263" t="s">
        <v>1127</v>
      </c>
      <c r="C171" s="264"/>
      <c r="D171" s="264"/>
      <c r="E171" s="264"/>
    </row>
    <row r="172" spans="1:5" ht="51" x14ac:dyDescent="0.25">
      <c r="A172" s="166" t="s">
        <v>1128</v>
      </c>
      <c r="B172" s="167" t="s">
        <v>1129</v>
      </c>
      <c r="C172" s="168" t="s">
        <v>350</v>
      </c>
      <c r="D172" s="169" t="s">
        <v>1130</v>
      </c>
      <c r="E172" s="162" t="s">
        <v>874</v>
      </c>
    </row>
    <row r="173" spans="1:5" ht="38.25" x14ac:dyDescent="0.25">
      <c r="A173" s="166" t="s">
        <v>1131</v>
      </c>
      <c r="B173" s="167" t="s">
        <v>1132</v>
      </c>
      <c r="C173" s="168" t="s">
        <v>339</v>
      </c>
      <c r="D173" s="169" t="s">
        <v>1102</v>
      </c>
      <c r="E173" s="162" t="s">
        <v>441</v>
      </c>
    </row>
    <row r="174" spans="1:5" x14ac:dyDescent="0.25">
      <c r="A174" s="165" t="s">
        <v>186</v>
      </c>
      <c r="B174" s="263" t="s">
        <v>1133</v>
      </c>
      <c r="C174" s="264"/>
      <c r="D174" s="264"/>
      <c r="E174" s="264"/>
    </row>
    <row r="175" spans="1:5" x14ac:dyDescent="0.25">
      <c r="A175" s="165" t="s">
        <v>197</v>
      </c>
      <c r="B175" s="263" t="s">
        <v>1134</v>
      </c>
      <c r="C175" s="264"/>
      <c r="D175" s="264"/>
      <c r="E175" s="264"/>
    </row>
    <row r="176" spans="1:5" ht="38.25" x14ac:dyDescent="0.25">
      <c r="A176" s="166" t="s">
        <v>1135</v>
      </c>
      <c r="B176" s="167" t="s">
        <v>1136</v>
      </c>
      <c r="C176" s="168" t="s">
        <v>350</v>
      </c>
      <c r="D176" s="169">
        <f>Quantitativos!J470</f>
        <v>22.33</v>
      </c>
      <c r="E176" s="162" t="s">
        <v>152</v>
      </c>
    </row>
    <row r="177" spans="1:5" x14ac:dyDescent="0.25">
      <c r="A177" s="165" t="s">
        <v>198</v>
      </c>
      <c r="B177" s="263" t="s">
        <v>1137</v>
      </c>
      <c r="C177" s="264"/>
      <c r="D177" s="264"/>
      <c r="E177" s="264"/>
    </row>
    <row r="178" spans="1:5" ht="38.25" x14ac:dyDescent="0.25">
      <c r="A178" s="166" t="s">
        <v>1138</v>
      </c>
      <c r="B178" s="167" t="s">
        <v>1139</v>
      </c>
      <c r="C178" s="168" t="s">
        <v>350</v>
      </c>
      <c r="D178" s="169" t="s">
        <v>1140</v>
      </c>
      <c r="E178" s="162" t="s">
        <v>1416</v>
      </c>
    </row>
    <row r="179" spans="1:5" x14ac:dyDescent="0.25">
      <c r="A179" s="165" t="s">
        <v>189</v>
      </c>
      <c r="B179" s="263" t="s">
        <v>1141</v>
      </c>
      <c r="C179" s="264"/>
      <c r="D179" s="264"/>
      <c r="E179" s="264"/>
    </row>
    <row r="180" spans="1:5" ht="51" x14ac:dyDescent="0.25">
      <c r="A180" s="166" t="s">
        <v>1142</v>
      </c>
      <c r="B180" s="167" t="s">
        <v>1143</v>
      </c>
      <c r="C180" s="168" t="s">
        <v>366</v>
      </c>
      <c r="D180" s="169" t="s">
        <v>1144</v>
      </c>
      <c r="E180" s="162" t="s">
        <v>194</v>
      </c>
    </row>
    <row r="181" spans="1:5" ht="38.25" x14ac:dyDescent="0.25">
      <c r="A181" s="166" t="s">
        <v>1145</v>
      </c>
      <c r="B181" s="167" t="s">
        <v>1146</v>
      </c>
      <c r="C181" s="168" t="s">
        <v>366</v>
      </c>
      <c r="D181" s="169" t="s">
        <v>1144</v>
      </c>
      <c r="E181" s="162" t="s">
        <v>195</v>
      </c>
    </row>
    <row r="182" spans="1:5" x14ac:dyDescent="0.25">
      <c r="A182" s="165" t="s">
        <v>1147</v>
      </c>
      <c r="B182" s="263" t="s">
        <v>1148</v>
      </c>
      <c r="C182" s="264"/>
      <c r="D182" s="264"/>
      <c r="E182" s="264"/>
    </row>
    <row r="183" spans="1:5" ht="63.75" x14ac:dyDescent="0.25">
      <c r="A183" s="166" t="s">
        <v>1149</v>
      </c>
      <c r="B183" s="167" t="s">
        <v>1150</v>
      </c>
      <c r="C183" s="168" t="s">
        <v>350</v>
      </c>
      <c r="D183" s="169" t="s">
        <v>1140</v>
      </c>
      <c r="E183" s="162" t="s">
        <v>1417</v>
      </c>
    </row>
    <row r="184" spans="1:5" ht="25.5" x14ac:dyDescent="0.25">
      <c r="A184" s="166" t="s">
        <v>1151</v>
      </c>
      <c r="B184" s="167" t="s">
        <v>1152</v>
      </c>
      <c r="C184" s="168" t="s">
        <v>366</v>
      </c>
      <c r="D184" s="169" t="s">
        <v>1153</v>
      </c>
      <c r="E184" s="162" t="s">
        <v>1416</v>
      </c>
    </row>
    <row r="185" spans="1:5" ht="25.5" x14ac:dyDescent="0.25">
      <c r="A185" s="166" t="s">
        <v>1154</v>
      </c>
      <c r="B185" s="167" t="s">
        <v>1155</v>
      </c>
      <c r="C185" s="168" t="s">
        <v>343</v>
      </c>
      <c r="D185" s="169" t="s">
        <v>1156</v>
      </c>
      <c r="E185" s="162" t="s">
        <v>1416</v>
      </c>
    </row>
    <row r="186" spans="1:5" ht="25.5" x14ac:dyDescent="0.25">
      <c r="A186" s="166" t="s">
        <v>1157</v>
      </c>
      <c r="B186" s="167" t="s">
        <v>1158</v>
      </c>
      <c r="C186" s="168" t="s">
        <v>343</v>
      </c>
      <c r="D186" s="169" t="s">
        <v>1159</v>
      </c>
      <c r="E186" s="162" t="s">
        <v>1416</v>
      </c>
    </row>
    <row r="187" spans="1:5" ht="25.5" x14ac:dyDescent="0.25">
      <c r="A187" s="166" t="s">
        <v>1160</v>
      </c>
      <c r="B187" s="167" t="s">
        <v>1161</v>
      </c>
      <c r="C187" s="168" t="s">
        <v>350</v>
      </c>
      <c r="D187" s="169" t="s">
        <v>1162</v>
      </c>
      <c r="E187" s="162" t="s">
        <v>1416</v>
      </c>
    </row>
    <row r="188" spans="1:5" x14ac:dyDescent="0.25">
      <c r="A188" s="165" t="s">
        <v>204</v>
      </c>
      <c r="B188" s="263" t="s">
        <v>1163</v>
      </c>
      <c r="C188" s="264"/>
      <c r="D188" s="264"/>
      <c r="E188" s="264"/>
    </row>
    <row r="189" spans="1:5" x14ac:dyDescent="0.25">
      <c r="A189" s="165" t="s">
        <v>1164</v>
      </c>
      <c r="B189" s="263" t="s">
        <v>1165</v>
      </c>
      <c r="C189" s="264"/>
      <c r="D189" s="264"/>
      <c r="E189" s="264"/>
    </row>
    <row r="190" spans="1:5" ht="51" x14ac:dyDescent="0.25">
      <c r="A190" s="166" t="s">
        <v>1166</v>
      </c>
      <c r="B190" s="167" t="s">
        <v>1167</v>
      </c>
      <c r="C190" s="168" t="s">
        <v>350</v>
      </c>
      <c r="D190" s="169" t="s">
        <v>1168</v>
      </c>
      <c r="E190" s="162" t="s">
        <v>1418</v>
      </c>
    </row>
    <row r="191" spans="1:5" ht="63.75" x14ac:dyDescent="0.25">
      <c r="A191" s="166" t="s">
        <v>1169</v>
      </c>
      <c r="B191" s="167" t="s">
        <v>1170</v>
      </c>
      <c r="C191" s="168" t="s">
        <v>350</v>
      </c>
      <c r="D191" s="169" t="s">
        <v>1168</v>
      </c>
      <c r="E191" s="162" t="s">
        <v>1418</v>
      </c>
    </row>
    <row r="192" spans="1:5" x14ac:dyDescent="0.25">
      <c r="A192" s="165" t="s">
        <v>835</v>
      </c>
      <c r="B192" s="263" t="s">
        <v>1171</v>
      </c>
      <c r="C192" s="264"/>
      <c r="D192" s="264"/>
      <c r="E192" s="264"/>
    </row>
    <row r="193" spans="1:5" ht="25.5" x14ac:dyDescent="0.25">
      <c r="A193" s="166" t="s">
        <v>1172</v>
      </c>
      <c r="B193" s="167" t="s">
        <v>1173</v>
      </c>
      <c r="C193" s="168" t="s">
        <v>350</v>
      </c>
      <c r="D193" s="169">
        <f>Quantitativos!J479</f>
        <v>75.78</v>
      </c>
      <c r="E193" s="162" t="s">
        <v>152</v>
      </c>
    </row>
    <row r="194" spans="1:5" x14ac:dyDescent="0.25">
      <c r="A194" s="165" t="s">
        <v>836</v>
      </c>
      <c r="B194" s="263" t="s">
        <v>1174</v>
      </c>
      <c r="C194" s="264"/>
      <c r="D194" s="264"/>
      <c r="E194" s="264"/>
    </row>
    <row r="195" spans="1:5" ht="51" x14ac:dyDescent="0.25">
      <c r="A195" s="166" t="s">
        <v>1175</v>
      </c>
      <c r="B195" s="167" t="s">
        <v>1176</v>
      </c>
      <c r="C195" s="168" t="s">
        <v>350</v>
      </c>
      <c r="D195" s="169">
        <f>Quantitativos!J488</f>
        <v>1.95</v>
      </c>
      <c r="E195" s="162" t="s">
        <v>152</v>
      </c>
    </row>
    <row r="196" spans="1:5" x14ac:dyDescent="0.25">
      <c r="A196" s="165" t="s">
        <v>1177</v>
      </c>
      <c r="B196" s="263" t="s">
        <v>1178</v>
      </c>
      <c r="C196" s="264"/>
      <c r="D196" s="264"/>
      <c r="E196" s="264"/>
    </row>
    <row r="197" spans="1:5" ht="38.25" x14ac:dyDescent="0.25">
      <c r="A197" s="166" t="s">
        <v>1179</v>
      </c>
      <c r="B197" s="167" t="s">
        <v>1180</v>
      </c>
      <c r="C197" s="168" t="s">
        <v>350</v>
      </c>
      <c r="D197" s="169" t="s">
        <v>1181</v>
      </c>
      <c r="E197" s="162" t="s">
        <v>1418</v>
      </c>
    </row>
    <row r="198" spans="1:5" x14ac:dyDescent="0.25">
      <c r="A198" s="165" t="s">
        <v>1182</v>
      </c>
      <c r="B198" s="263" t="s">
        <v>1183</v>
      </c>
      <c r="C198" s="264"/>
      <c r="D198" s="264"/>
      <c r="E198" s="264"/>
    </row>
    <row r="199" spans="1:5" ht="89.25" x14ac:dyDescent="0.25">
      <c r="A199" s="166" t="s">
        <v>1184</v>
      </c>
      <c r="B199" s="167" t="s">
        <v>1185</v>
      </c>
      <c r="C199" s="168" t="s">
        <v>350</v>
      </c>
      <c r="D199" s="169" t="s">
        <v>1186</v>
      </c>
      <c r="E199" s="162" t="s">
        <v>1418</v>
      </c>
    </row>
    <row r="200" spans="1:5" ht="89.25" x14ac:dyDescent="0.25">
      <c r="A200" s="166" t="s">
        <v>1187</v>
      </c>
      <c r="B200" s="167" t="s">
        <v>1188</v>
      </c>
      <c r="C200" s="168" t="s">
        <v>350</v>
      </c>
      <c r="D200" s="169" t="s">
        <v>1189</v>
      </c>
      <c r="E200" s="162" t="s">
        <v>1418</v>
      </c>
    </row>
    <row r="201" spans="1:5" ht="76.5" x14ac:dyDescent="0.25">
      <c r="A201" s="166" t="s">
        <v>1190</v>
      </c>
      <c r="B201" s="167" t="s">
        <v>1191</v>
      </c>
      <c r="C201" s="168" t="s">
        <v>350</v>
      </c>
      <c r="D201" s="169" t="s">
        <v>1192</v>
      </c>
      <c r="E201" s="162" t="s">
        <v>1418</v>
      </c>
    </row>
    <row r="202" spans="1:5" ht="51" x14ac:dyDescent="0.25">
      <c r="A202" s="166" t="s">
        <v>1193</v>
      </c>
      <c r="B202" s="167" t="s">
        <v>1194</v>
      </c>
      <c r="C202" s="168" t="s">
        <v>948</v>
      </c>
      <c r="D202" s="169" t="s">
        <v>1192</v>
      </c>
      <c r="E202" s="162" t="s">
        <v>1418</v>
      </c>
    </row>
    <row r="203" spans="1:5" ht="51" x14ac:dyDescent="0.25">
      <c r="A203" s="166" t="s">
        <v>1195</v>
      </c>
      <c r="B203" s="167" t="s">
        <v>1196</v>
      </c>
      <c r="C203" s="168" t="s">
        <v>350</v>
      </c>
      <c r="D203" s="169" t="s">
        <v>1192</v>
      </c>
      <c r="E203" s="162" t="s">
        <v>1418</v>
      </c>
    </row>
    <row r="204" spans="1:5" x14ac:dyDescent="0.25">
      <c r="A204" s="165" t="s">
        <v>840</v>
      </c>
      <c r="B204" s="263" t="s">
        <v>1197</v>
      </c>
      <c r="C204" s="264"/>
      <c r="D204" s="264"/>
      <c r="E204" s="264"/>
    </row>
    <row r="205" spans="1:5" ht="25.5" x14ac:dyDescent="0.25">
      <c r="A205" s="166" t="s">
        <v>1198</v>
      </c>
      <c r="B205" s="167" t="s">
        <v>1199</v>
      </c>
      <c r="C205" s="168" t="s">
        <v>350</v>
      </c>
      <c r="D205" s="169" t="s">
        <v>1200</v>
      </c>
      <c r="E205" s="162" t="s">
        <v>842</v>
      </c>
    </row>
    <row r="206" spans="1:5" x14ac:dyDescent="0.25">
      <c r="A206" s="165" t="s">
        <v>237</v>
      </c>
      <c r="B206" s="263" t="s">
        <v>1201</v>
      </c>
      <c r="C206" s="264"/>
      <c r="D206" s="264"/>
      <c r="E206" s="264"/>
    </row>
    <row r="207" spans="1:5" x14ac:dyDescent="0.25">
      <c r="A207" s="165" t="s">
        <v>1202</v>
      </c>
      <c r="B207" s="263" t="s">
        <v>1203</v>
      </c>
      <c r="C207" s="264"/>
      <c r="D207" s="264"/>
      <c r="E207" s="264"/>
    </row>
    <row r="208" spans="1:5" ht="76.5" x14ac:dyDescent="0.25">
      <c r="A208" s="166" t="s">
        <v>1204</v>
      </c>
      <c r="B208" s="167" t="s">
        <v>1205</v>
      </c>
      <c r="C208" s="168" t="s">
        <v>350</v>
      </c>
      <c r="D208" s="169">
        <f>'Det. Rev. Parede'!I4+Quantitativos!J495</f>
        <v>2988.3746999999998</v>
      </c>
      <c r="E208" s="162" t="s">
        <v>1420</v>
      </c>
    </row>
    <row r="209" spans="1:5" ht="89.25" x14ac:dyDescent="0.25">
      <c r="A209" s="166" t="s">
        <v>1206</v>
      </c>
      <c r="B209" s="167" t="s">
        <v>1207</v>
      </c>
      <c r="C209" s="168" t="s">
        <v>350</v>
      </c>
      <c r="D209" s="169">
        <f>'Det. Rev. Parede'!I3</f>
        <v>509.17699999999996</v>
      </c>
      <c r="E209" s="162" t="s">
        <v>1421</v>
      </c>
    </row>
    <row r="210" spans="1:5" x14ac:dyDescent="0.25">
      <c r="A210" s="165" t="s">
        <v>1208</v>
      </c>
      <c r="B210" s="263" t="s">
        <v>1209</v>
      </c>
      <c r="C210" s="264"/>
      <c r="D210" s="264"/>
      <c r="E210" s="264"/>
    </row>
    <row r="211" spans="1:5" ht="127.5" x14ac:dyDescent="0.25">
      <c r="A211" s="166" t="s">
        <v>1210</v>
      </c>
      <c r="B211" s="167" t="s">
        <v>1211</v>
      </c>
      <c r="C211" s="168" t="s">
        <v>350</v>
      </c>
      <c r="D211" s="169">
        <f>'Det. Rev. Parede'!I5+Quantitativos!J509</f>
        <v>237.22039999999998</v>
      </c>
      <c r="E211" s="162" t="s">
        <v>1421</v>
      </c>
    </row>
    <row r="212" spans="1:5" ht="89.25" x14ac:dyDescent="0.25">
      <c r="A212" s="166" t="s">
        <v>1212</v>
      </c>
      <c r="B212" s="167" t="s">
        <v>1213</v>
      </c>
      <c r="C212" s="168" t="s">
        <v>350</v>
      </c>
      <c r="D212" s="169">
        <f>'Det. Rev. Parede'!I8</f>
        <v>509.17699999999996</v>
      </c>
      <c r="E212" s="162" t="s">
        <v>1421</v>
      </c>
    </row>
    <row r="213" spans="1:5" ht="127.5" x14ac:dyDescent="0.25">
      <c r="A213" s="166" t="s">
        <v>1214</v>
      </c>
      <c r="B213" s="167" t="s">
        <v>1215</v>
      </c>
      <c r="C213" s="168" t="s">
        <v>350</v>
      </c>
      <c r="D213" s="169">
        <f>'Det. Rev. Parede'!I9+Quantitativos!J495+Quantitativos!J543</f>
        <v>2690.8807000000002</v>
      </c>
      <c r="E213" s="162" t="s">
        <v>1420</v>
      </c>
    </row>
    <row r="214" spans="1:5" x14ac:dyDescent="0.25">
      <c r="A214" s="165" t="s">
        <v>1216</v>
      </c>
      <c r="B214" s="263" t="s">
        <v>1217</v>
      </c>
      <c r="C214" s="264"/>
      <c r="D214" s="264"/>
      <c r="E214" s="264"/>
    </row>
    <row r="215" spans="1:5" ht="89.25" x14ac:dyDescent="0.25">
      <c r="A215" s="166" t="s">
        <v>1218</v>
      </c>
      <c r="B215" s="167" t="s">
        <v>1219</v>
      </c>
      <c r="C215" s="168" t="s">
        <v>350</v>
      </c>
      <c r="D215" s="169">
        <f>'Det. Rev. Parede'!I1</f>
        <v>94.743599999999986</v>
      </c>
      <c r="E215" s="162" t="s">
        <v>1421</v>
      </c>
    </row>
    <row r="216" spans="1:5" ht="89.25" x14ac:dyDescent="0.25">
      <c r="A216" s="166" t="s">
        <v>1220</v>
      </c>
      <c r="B216" s="167" t="s">
        <v>1221</v>
      </c>
      <c r="C216" s="168" t="s">
        <v>350</v>
      </c>
      <c r="D216" s="169">
        <f>Quantitativos!J509</f>
        <v>120.41</v>
      </c>
      <c r="E216" s="162" t="s">
        <v>152</v>
      </c>
    </row>
    <row r="217" spans="1:5" x14ac:dyDescent="0.25">
      <c r="A217" s="165" t="s">
        <v>40</v>
      </c>
      <c r="B217" s="263" t="s">
        <v>1222</v>
      </c>
      <c r="C217" s="264"/>
      <c r="D217" s="264"/>
      <c r="E217" s="264"/>
    </row>
    <row r="218" spans="1:5" x14ac:dyDescent="0.25">
      <c r="A218" s="165" t="s">
        <v>266</v>
      </c>
      <c r="B218" s="263" t="s">
        <v>1223</v>
      </c>
      <c r="C218" s="264"/>
      <c r="D218" s="264"/>
      <c r="E218" s="264"/>
    </row>
    <row r="219" spans="1:5" ht="51" x14ac:dyDescent="0.25">
      <c r="A219" s="166" t="s">
        <v>1224</v>
      </c>
      <c r="B219" s="167" t="s">
        <v>1225</v>
      </c>
      <c r="C219" s="168" t="s">
        <v>350</v>
      </c>
      <c r="D219" s="169">
        <f>Quantitativos!J517</f>
        <v>37.36</v>
      </c>
      <c r="E219" s="162" t="s">
        <v>152</v>
      </c>
    </row>
    <row r="220" spans="1:5" x14ac:dyDescent="0.25">
      <c r="A220" s="165" t="s">
        <v>265</v>
      </c>
      <c r="B220" s="263" t="s">
        <v>1226</v>
      </c>
      <c r="C220" s="264"/>
      <c r="D220" s="264"/>
      <c r="E220" s="264"/>
    </row>
    <row r="221" spans="1:5" ht="38.25" x14ac:dyDescent="0.25">
      <c r="A221" s="166" t="s">
        <v>1227</v>
      </c>
      <c r="B221" s="167" t="s">
        <v>1228</v>
      </c>
      <c r="C221" s="168" t="s">
        <v>350</v>
      </c>
      <c r="D221" s="169">
        <f>Quantitativos!J527</f>
        <v>1045.06</v>
      </c>
      <c r="E221" s="162" t="s">
        <v>152</v>
      </c>
    </row>
    <row r="222" spans="1:5" x14ac:dyDescent="0.25">
      <c r="A222" s="165" t="s">
        <v>41</v>
      </c>
      <c r="B222" s="263" t="s">
        <v>1229</v>
      </c>
      <c r="C222" s="264"/>
      <c r="D222" s="264"/>
      <c r="E222" s="264"/>
    </row>
    <row r="223" spans="1:5" x14ac:dyDescent="0.25">
      <c r="A223" s="165" t="s">
        <v>1230</v>
      </c>
      <c r="B223" s="263" t="s">
        <v>1231</v>
      </c>
      <c r="C223" s="264"/>
      <c r="D223" s="264"/>
      <c r="E223" s="264"/>
    </row>
    <row r="224" spans="1:5" ht="38.25" x14ac:dyDescent="0.25">
      <c r="A224" s="166" t="s">
        <v>1232</v>
      </c>
      <c r="B224" s="167" t="s">
        <v>1233</v>
      </c>
      <c r="C224" s="168" t="s">
        <v>350</v>
      </c>
      <c r="D224" s="169">
        <f>D219</f>
        <v>37.36</v>
      </c>
      <c r="E224" s="162" t="s">
        <v>1423</v>
      </c>
    </row>
    <row r="225" spans="1:5" ht="38.25" x14ac:dyDescent="0.25">
      <c r="A225" s="166" t="s">
        <v>1234</v>
      </c>
      <c r="B225" s="167" t="s">
        <v>1235</v>
      </c>
      <c r="C225" s="168" t="s">
        <v>350</v>
      </c>
      <c r="D225" s="169">
        <f>'Det. Rev. Parede'!I12+Quantitativos!J543</f>
        <v>3037.4124500000003</v>
      </c>
      <c r="E225" s="162" t="s">
        <v>1421</v>
      </c>
    </row>
    <row r="226" spans="1:5" ht="38.25" x14ac:dyDescent="0.25">
      <c r="A226" s="166" t="s">
        <v>1236</v>
      </c>
      <c r="B226" s="167" t="s">
        <v>1237</v>
      </c>
      <c r="C226" s="168" t="s">
        <v>350</v>
      </c>
      <c r="D226" s="169">
        <f>D219</f>
        <v>37.36</v>
      </c>
      <c r="E226" s="162" t="s">
        <v>1423</v>
      </c>
    </row>
    <row r="227" spans="1:5" ht="38.25" x14ac:dyDescent="0.25">
      <c r="A227" s="166" t="s">
        <v>1238</v>
      </c>
      <c r="B227" s="167" t="s">
        <v>1239</v>
      </c>
      <c r="C227" s="168" t="s">
        <v>350</v>
      </c>
      <c r="D227" s="169">
        <f>'Det. Rev. Parede'!I6</f>
        <v>406.99799999999999</v>
      </c>
      <c r="E227" s="162" t="s">
        <v>1421</v>
      </c>
    </row>
    <row r="228" spans="1:5" ht="51" x14ac:dyDescent="0.25">
      <c r="A228" s="166" t="s">
        <v>1240</v>
      </c>
      <c r="B228" s="167" t="s">
        <v>1241</v>
      </c>
      <c r="C228" s="168" t="s">
        <v>350</v>
      </c>
      <c r="D228" s="169">
        <f>'Det. Rev. Parede'!I7+Quantitativos!J543</f>
        <v>2121.2374500000001</v>
      </c>
      <c r="E228" s="162" t="s">
        <v>1422</v>
      </c>
    </row>
    <row r="229" spans="1:5" x14ac:dyDescent="0.25">
      <c r="A229" s="165" t="s">
        <v>731</v>
      </c>
      <c r="B229" s="263" t="s">
        <v>1242</v>
      </c>
      <c r="C229" s="264"/>
      <c r="D229" s="264"/>
      <c r="E229" s="264"/>
    </row>
    <row r="230" spans="1:5" ht="89.25" x14ac:dyDescent="0.25">
      <c r="A230" s="166" t="s">
        <v>1243</v>
      </c>
      <c r="B230" s="167" t="s">
        <v>1244</v>
      </c>
      <c r="C230" s="168" t="s">
        <v>350</v>
      </c>
      <c r="D230" s="169">
        <f>Quantitativos!J553</f>
        <v>215.41</v>
      </c>
      <c r="E230" s="162" t="s">
        <v>152</v>
      </c>
    </row>
    <row r="231" spans="1:5" x14ac:dyDescent="0.25">
      <c r="A231" s="165" t="s">
        <v>392</v>
      </c>
      <c r="B231" s="263" t="s">
        <v>1245</v>
      </c>
      <c r="C231" s="264"/>
      <c r="D231" s="264"/>
      <c r="E231" s="264"/>
    </row>
    <row r="232" spans="1:5" s="230" customFormat="1" ht="38.25" x14ac:dyDescent="0.25">
      <c r="A232" s="226" t="s">
        <v>1246</v>
      </c>
      <c r="B232" s="227" t="s">
        <v>1424</v>
      </c>
      <c r="C232" s="228" t="s">
        <v>350</v>
      </c>
      <c r="D232" s="229">
        <f>Quantitativos!J572</f>
        <v>126.14</v>
      </c>
      <c r="E232" s="190" t="s">
        <v>152</v>
      </c>
    </row>
    <row r="233" spans="1:5" x14ac:dyDescent="0.25">
      <c r="A233" s="165" t="s">
        <v>286</v>
      </c>
      <c r="B233" s="263" t="s">
        <v>1247</v>
      </c>
      <c r="C233" s="264"/>
      <c r="D233" s="264"/>
      <c r="E233" s="264"/>
    </row>
    <row r="234" spans="1:5" ht="38.25" x14ac:dyDescent="0.25">
      <c r="A234" s="166" t="s">
        <v>1248</v>
      </c>
      <c r="B234" s="167" t="s">
        <v>1249</v>
      </c>
      <c r="C234" s="168" t="s">
        <v>350</v>
      </c>
      <c r="D234" s="169">
        <f>D219</f>
        <v>37.36</v>
      </c>
      <c r="E234" s="162" t="s">
        <v>1423</v>
      </c>
    </row>
    <row r="235" spans="1:5" x14ac:dyDescent="0.25">
      <c r="A235" s="165" t="s">
        <v>522</v>
      </c>
      <c r="B235" s="263" t="s">
        <v>1250</v>
      </c>
      <c r="C235" s="264"/>
      <c r="D235" s="264"/>
      <c r="E235" s="264"/>
    </row>
    <row r="236" spans="1:5" s="230" customFormat="1" ht="51" x14ac:dyDescent="0.25">
      <c r="A236" s="226" t="s">
        <v>1251</v>
      </c>
      <c r="B236" s="227" t="s">
        <v>1426</v>
      </c>
      <c r="C236" s="228" t="s">
        <v>350</v>
      </c>
      <c r="D236" s="229">
        <f>D110</f>
        <v>90.46</v>
      </c>
      <c r="E236" s="190" t="s">
        <v>1425</v>
      </c>
    </row>
    <row r="237" spans="1:5" x14ac:dyDescent="0.25">
      <c r="A237" s="165" t="s">
        <v>1252</v>
      </c>
      <c r="B237" s="263" t="s">
        <v>1253</v>
      </c>
      <c r="C237" s="264"/>
      <c r="D237" s="264"/>
      <c r="E237" s="264"/>
    </row>
    <row r="238" spans="1:5" ht="38.25" x14ac:dyDescent="0.25">
      <c r="A238" s="166" t="s">
        <v>1254</v>
      </c>
      <c r="B238" s="167" t="s">
        <v>1255</v>
      </c>
      <c r="C238" s="168" t="s">
        <v>350</v>
      </c>
      <c r="D238" s="169">
        <f>'Det. Rev. Parede'!I11</f>
        <v>509.17699999999996</v>
      </c>
      <c r="E238" s="162" t="s">
        <v>1421</v>
      </c>
    </row>
    <row r="239" spans="1:5" ht="51" x14ac:dyDescent="0.25">
      <c r="A239" s="166" t="s">
        <v>1256</v>
      </c>
      <c r="B239" s="167" t="s">
        <v>1257</v>
      </c>
      <c r="C239" s="168" t="s">
        <v>350</v>
      </c>
      <c r="D239" s="169">
        <f>'Det. Rev. Parede'!I10+Quantitativos!J543</f>
        <v>2528.2354500000001</v>
      </c>
      <c r="E239" s="162" t="s">
        <v>1421</v>
      </c>
    </row>
    <row r="240" spans="1:5" x14ac:dyDescent="0.25">
      <c r="A240" s="165" t="s">
        <v>878</v>
      </c>
      <c r="B240" s="263" t="s">
        <v>1258</v>
      </c>
      <c r="C240" s="264"/>
      <c r="D240" s="264"/>
      <c r="E240" s="264"/>
    </row>
    <row r="241" spans="1:5" s="230" customFormat="1" ht="38.25" x14ac:dyDescent="0.25">
      <c r="A241" s="226" t="s">
        <v>1234</v>
      </c>
      <c r="B241" s="227" t="s">
        <v>1427</v>
      </c>
      <c r="C241" s="228" t="s">
        <v>350</v>
      </c>
      <c r="D241" s="229">
        <f>Quantitativos!J584</f>
        <v>2047.66</v>
      </c>
      <c r="E241" s="190" t="s">
        <v>1259</v>
      </c>
    </row>
    <row r="242" spans="1:5" s="230" customFormat="1" ht="51" x14ac:dyDescent="0.25">
      <c r="A242" s="226" t="s">
        <v>1260</v>
      </c>
      <c r="B242" s="227" t="s">
        <v>1428</v>
      </c>
      <c r="C242" s="228" t="s">
        <v>350</v>
      </c>
      <c r="D242" s="229">
        <f>D241</f>
        <v>2047.66</v>
      </c>
      <c r="E242" s="190" t="s">
        <v>1429</v>
      </c>
    </row>
    <row r="243" spans="1:5" x14ac:dyDescent="0.25">
      <c r="A243" s="165" t="s">
        <v>293</v>
      </c>
      <c r="B243" s="263" t="s">
        <v>1261</v>
      </c>
      <c r="C243" s="264"/>
      <c r="D243" s="264"/>
      <c r="E243" s="264"/>
    </row>
    <row r="244" spans="1:5" x14ac:dyDescent="0.25">
      <c r="A244" s="165" t="s">
        <v>1262</v>
      </c>
      <c r="B244" s="263" t="s">
        <v>1263</v>
      </c>
      <c r="C244" s="264"/>
      <c r="D244" s="264"/>
      <c r="E244" s="264"/>
    </row>
    <row r="245" spans="1:5" ht="51" x14ac:dyDescent="0.25">
      <c r="A245" s="166" t="s">
        <v>1264</v>
      </c>
      <c r="B245" s="167" t="s">
        <v>1265</v>
      </c>
      <c r="C245" s="168" t="s">
        <v>350</v>
      </c>
      <c r="D245" s="169">
        <f>'Det. Rev. Pisos'!G2</f>
        <v>40.150000000000006</v>
      </c>
      <c r="E245" s="162" t="s">
        <v>1418</v>
      </c>
    </row>
    <row r="246" spans="1:5" x14ac:dyDescent="0.25">
      <c r="A246" s="165" t="s">
        <v>1266</v>
      </c>
      <c r="B246" s="263" t="s">
        <v>1267</v>
      </c>
      <c r="C246" s="264"/>
      <c r="D246" s="264"/>
      <c r="E246" s="264"/>
    </row>
    <row r="247" spans="1:5" ht="89.25" x14ac:dyDescent="0.25">
      <c r="A247" s="166" t="s">
        <v>1187</v>
      </c>
      <c r="B247" s="167" t="s">
        <v>1188</v>
      </c>
      <c r="C247" s="168" t="s">
        <v>350</v>
      </c>
      <c r="D247" s="169">
        <f>Quantitativos!J592</f>
        <v>115.5</v>
      </c>
      <c r="E247" s="162" t="s">
        <v>152</v>
      </c>
    </row>
    <row r="248" spans="1:5" ht="38.25" x14ac:dyDescent="0.25">
      <c r="A248" s="166" t="s">
        <v>1268</v>
      </c>
      <c r="B248" s="167" t="s">
        <v>1269</v>
      </c>
      <c r="C248" s="168" t="s">
        <v>350</v>
      </c>
      <c r="D248" s="169">
        <f>D247</f>
        <v>115.5</v>
      </c>
      <c r="E248" s="162" t="s">
        <v>867</v>
      </c>
    </row>
    <row r="249" spans="1:5" x14ac:dyDescent="0.25">
      <c r="A249" s="165" t="s">
        <v>18</v>
      </c>
      <c r="B249" s="263" t="s">
        <v>1270</v>
      </c>
      <c r="C249" s="264"/>
      <c r="D249" s="264"/>
      <c r="E249" s="264"/>
    </row>
    <row r="250" spans="1:5" x14ac:dyDescent="0.25">
      <c r="A250" s="165" t="s">
        <v>1271</v>
      </c>
      <c r="B250" s="263" t="s">
        <v>1272</v>
      </c>
      <c r="C250" s="264"/>
      <c r="D250" s="264"/>
      <c r="E250" s="264"/>
    </row>
    <row r="251" spans="1:5" ht="25.5" x14ac:dyDescent="0.25">
      <c r="A251" s="166" t="s">
        <v>1273</v>
      </c>
      <c r="B251" s="167" t="s">
        <v>365</v>
      </c>
      <c r="C251" s="168" t="s">
        <v>366</v>
      </c>
      <c r="D251" s="169">
        <f>Quantitativos!I600</f>
        <v>67.88</v>
      </c>
      <c r="E251" s="162" t="s">
        <v>152</v>
      </c>
    </row>
    <row r="252" spans="1:5" ht="38.25" x14ac:dyDescent="0.25">
      <c r="A252" s="166" t="s">
        <v>1274</v>
      </c>
      <c r="B252" s="167" t="s">
        <v>1275</v>
      </c>
      <c r="C252" s="168" t="s">
        <v>366</v>
      </c>
      <c r="D252" s="169">
        <f>Quantitativos!I608</f>
        <v>794.17</v>
      </c>
      <c r="E252" s="162" t="s">
        <v>152</v>
      </c>
    </row>
    <row r="253" spans="1:5" x14ac:dyDescent="0.25">
      <c r="A253" s="165" t="s">
        <v>1276</v>
      </c>
      <c r="B253" s="263" t="s">
        <v>1277</v>
      </c>
      <c r="C253" s="264"/>
      <c r="D253" s="264"/>
      <c r="E253" s="264"/>
    </row>
    <row r="254" spans="1:5" ht="38.25" x14ac:dyDescent="0.25">
      <c r="A254" s="166" t="s">
        <v>1278</v>
      </c>
      <c r="B254" s="167" t="s">
        <v>1279</v>
      </c>
      <c r="C254" s="168" t="s">
        <v>366</v>
      </c>
      <c r="D254" s="169" t="s">
        <v>1280</v>
      </c>
      <c r="E254" s="162" t="s">
        <v>828</v>
      </c>
    </row>
    <row r="255" spans="1:5" x14ac:dyDescent="0.25">
      <c r="A255" s="165" t="s">
        <v>304</v>
      </c>
      <c r="B255" s="263" t="s">
        <v>1281</v>
      </c>
      <c r="C255" s="264"/>
      <c r="D255" s="264"/>
      <c r="E255" s="264"/>
    </row>
    <row r="256" spans="1:5" ht="38.25" x14ac:dyDescent="0.25">
      <c r="A256" s="166" t="s">
        <v>1282</v>
      </c>
      <c r="B256" s="167" t="s">
        <v>1283</v>
      </c>
      <c r="C256" s="168" t="s">
        <v>366</v>
      </c>
      <c r="D256" s="169">
        <f>Quantitativos!I625</f>
        <v>136.66</v>
      </c>
      <c r="E256" s="162" t="s">
        <v>152</v>
      </c>
    </row>
    <row r="257" spans="1:5" x14ac:dyDescent="0.25">
      <c r="A257" s="165" t="s">
        <v>888</v>
      </c>
      <c r="B257" s="263" t="s">
        <v>1284</v>
      </c>
      <c r="C257" s="264"/>
      <c r="D257" s="264"/>
      <c r="E257" s="264"/>
    </row>
    <row r="258" spans="1:5" ht="38.25" x14ac:dyDescent="0.25">
      <c r="A258" s="166" t="s">
        <v>1285</v>
      </c>
      <c r="B258" s="167" t="s">
        <v>1286</v>
      </c>
      <c r="C258" s="168" t="s">
        <v>366</v>
      </c>
      <c r="D258" s="169">
        <f>Quantitativos!I634</f>
        <v>76.14</v>
      </c>
      <c r="E258" s="162" t="s">
        <v>152</v>
      </c>
    </row>
    <row r="259" spans="1:5" x14ac:dyDescent="0.25">
      <c r="A259" s="165" t="s">
        <v>1287</v>
      </c>
      <c r="B259" s="263" t="s">
        <v>1288</v>
      </c>
      <c r="C259" s="264"/>
      <c r="D259" s="264"/>
      <c r="E259" s="264"/>
    </row>
    <row r="260" spans="1:5" ht="51" x14ac:dyDescent="0.25">
      <c r="A260" s="166" t="s">
        <v>1289</v>
      </c>
      <c r="B260" s="167" t="s">
        <v>1290</v>
      </c>
      <c r="C260" s="168" t="s">
        <v>366</v>
      </c>
      <c r="D260" s="169" t="s">
        <v>1291</v>
      </c>
      <c r="E260" s="162" t="s">
        <v>1416</v>
      </c>
    </row>
    <row r="261" spans="1:5" ht="51" x14ac:dyDescent="0.25">
      <c r="A261" s="166" t="s">
        <v>1292</v>
      </c>
      <c r="B261" s="167" t="s">
        <v>1293</v>
      </c>
      <c r="C261" s="168" t="s">
        <v>366</v>
      </c>
      <c r="D261" s="169" t="s">
        <v>1294</v>
      </c>
      <c r="E261" s="162" t="s">
        <v>1416</v>
      </c>
    </row>
    <row r="262" spans="1:5" x14ac:dyDescent="0.25">
      <c r="A262" s="165" t="s">
        <v>268</v>
      </c>
      <c r="B262" s="263" t="s">
        <v>1295</v>
      </c>
      <c r="C262" s="264"/>
      <c r="D262" s="264"/>
      <c r="E262" s="264"/>
    </row>
    <row r="263" spans="1:5" s="230" customFormat="1" ht="25.5" x14ac:dyDescent="0.25">
      <c r="A263" s="226" t="s">
        <v>1296</v>
      </c>
      <c r="B263" s="227" t="s">
        <v>1431</v>
      </c>
      <c r="C263" s="228" t="s">
        <v>366</v>
      </c>
      <c r="D263" s="229" t="s">
        <v>1297</v>
      </c>
      <c r="E263" s="190" t="s">
        <v>152</v>
      </c>
    </row>
    <row r="264" spans="1:5" x14ac:dyDescent="0.25">
      <c r="A264" s="165" t="s">
        <v>43</v>
      </c>
      <c r="B264" s="263" t="s">
        <v>1298</v>
      </c>
      <c r="C264" s="264"/>
      <c r="D264" s="264"/>
      <c r="E264" s="264"/>
    </row>
    <row r="265" spans="1:5" x14ac:dyDescent="0.25">
      <c r="A265" s="165" t="s">
        <v>1299</v>
      </c>
      <c r="B265" s="263" t="s">
        <v>1300</v>
      </c>
      <c r="C265" s="264"/>
      <c r="D265" s="264"/>
      <c r="E265" s="264"/>
    </row>
    <row r="266" spans="1:5" ht="38.25" x14ac:dyDescent="0.25">
      <c r="A266" s="166" t="s">
        <v>1301</v>
      </c>
      <c r="B266" s="167" t="s">
        <v>1302</v>
      </c>
      <c r="C266" s="168" t="s">
        <v>366</v>
      </c>
      <c r="D266" s="169" t="s">
        <v>1303</v>
      </c>
      <c r="E266" s="162" t="s">
        <v>152</v>
      </c>
    </row>
    <row r="267" spans="1:5" x14ac:dyDescent="0.25">
      <c r="A267" s="165" t="s">
        <v>1304</v>
      </c>
      <c r="B267" s="263" t="s">
        <v>1305</v>
      </c>
      <c r="C267" s="264"/>
      <c r="D267" s="264"/>
      <c r="E267" s="264"/>
    </row>
    <row r="268" spans="1:5" ht="51" x14ac:dyDescent="0.25">
      <c r="A268" s="166" t="s">
        <v>1306</v>
      </c>
      <c r="B268" s="167" t="s">
        <v>1307</v>
      </c>
      <c r="C268" s="168" t="s">
        <v>350</v>
      </c>
      <c r="D268" s="169">
        <f>Quantitativos!J667</f>
        <v>527.69000000000005</v>
      </c>
      <c r="E268" s="162" t="s">
        <v>152</v>
      </c>
    </row>
    <row r="269" spans="1:5" ht="38.25" x14ac:dyDescent="0.25">
      <c r="A269" s="166" t="s">
        <v>1308</v>
      </c>
      <c r="B269" s="167" t="s">
        <v>1309</v>
      </c>
      <c r="C269" s="168" t="s">
        <v>350</v>
      </c>
      <c r="D269" s="169">
        <f>Quantitativos!J674</f>
        <v>22.32</v>
      </c>
      <c r="E269" s="162" t="s">
        <v>152</v>
      </c>
    </row>
    <row r="270" spans="1:5" ht="25.5" x14ac:dyDescent="0.25">
      <c r="A270" s="166" t="s">
        <v>1310</v>
      </c>
      <c r="B270" s="167" t="s">
        <v>1311</v>
      </c>
      <c r="C270" s="168" t="s">
        <v>350</v>
      </c>
      <c r="D270" s="169">
        <f>D268+D269</f>
        <v>550.0100000000001</v>
      </c>
      <c r="E270" s="162" t="s">
        <v>1432</v>
      </c>
    </row>
    <row r="271" spans="1:5" x14ac:dyDescent="0.25">
      <c r="A271" s="165" t="s">
        <v>1312</v>
      </c>
      <c r="B271" s="263" t="s">
        <v>1313</v>
      </c>
      <c r="C271" s="264"/>
      <c r="D271" s="264"/>
      <c r="E271" s="264"/>
    </row>
    <row r="272" spans="1:5" ht="89.25" x14ac:dyDescent="0.25">
      <c r="A272" s="166" t="s">
        <v>1314</v>
      </c>
      <c r="B272" s="167" t="s">
        <v>1315</v>
      </c>
      <c r="C272" s="168" t="s">
        <v>366</v>
      </c>
      <c r="D272" s="169">
        <f>Quantitativos!I686</f>
        <v>12.79</v>
      </c>
      <c r="E272" s="162" t="s">
        <v>152</v>
      </c>
    </row>
    <row r="273" spans="1:5" ht="89.25" x14ac:dyDescent="0.25">
      <c r="A273" s="166" t="s">
        <v>1316</v>
      </c>
      <c r="B273" s="167" t="s">
        <v>1317</v>
      </c>
      <c r="C273" s="168" t="s">
        <v>366</v>
      </c>
      <c r="D273" s="169">
        <f>Quantitativos!I694</f>
        <v>15.9</v>
      </c>
      <c r="E273" s="162" t="s">
        <v>152</v>
      </c>
    </row>
    <row r="274" spans="1:5" ht="76.5" x14ac:dyDescent="0.25">
      <c r="A274" s="166" t="s">
        <v>1318</v>
      </c>
      <c r="B274" s="167" t="s">
        <v>1319</v>
      </c>
      <c r="C274" s="168" t="s">
        <v>366</v>
      </c>
      <c r="D274" s="169">
        <f>Quantitativos!I702</f>
        <v>12.75</v>
      </c>
      <c r="E274" s="162" t="s">
        <v>152</v>
      </c>
    </row>
    <row r="275" spans="1:5" x14ac:dyDescent="0.25">
      <c r="A275" s="165" t="s">
        <v>1320</v>
      </c>
      <c r="B275" s="263" t="s">
        <v>1321</v>
      </c>
      <c r="C275" s="264"/>
      <c r="D275" s="264"/>
      <c r="E275" s="264"/>
    </row>
    <row r="276" spans="1:5" ht="25.5" x14ac:dyDescent="0.25">
      <c r="A276" s="166" t="s">
        <v>1322</v>
      </c>
      <c r="B276" s="167" t="s">
        <v>1323</v>
      </c>
      <c r="C276" s="168" t="s">
        <v>350</v>
      </c>
      <c r="D276" s="169" t="s">
        <v>1324</v>
      </c>
      <c r="E276" s="162" t="s">
        <v>1433</v>
      </c>
    </row>
    <row r="277" spans="1:5" x14ac:dyDescent="0.25">
      <c r="A277" s="165" t="s">
        <v>1325</v>
      </c>
      <c r="B277" s="263" t="s">
        <v>1326</v>
      </c>
      <c r="C277" s="264"/>
      <c r="D277" s="264"/>
      <c r="E277" s="264"/>
    </row>
    <row r="278" spans="1:5" ht="63.75" x14ac:dyDescent="0.25">
      <c r="A278" s="166" t="s">
        <v>1327</v>
      </c>
      <c r="B278" s="167" t="s">
        <v>381</v>
      </c>
      <c r="C278" s="168" t="s">
        <v>339</v>
      </c>
      <c r="D278" s="169" t="s">
        <v>1102</v>
      </c>
      <c r="E278" s="162" t="s">
        <v>169</v>
      </c>
    </row>
    <row r="279" spans="1:5" ht="63.75" x14ac:dyDescent="0.25">
      <c r="A279" s="166" t="s">
        <v>1328</v>
      </c>
      <c r="B279" s="167" t="s">
        <v>382</v>
      </c>
      <c r="C279" s="168" t="s">
        <v>339</v>
      </c>
      <c r="D279" s="169" t="s">
        <v>1102</v>
      </c>
      <c r="E279" s="162" t="s">
        <v>169</v>
      </c>
    </row>
    <row r="280" spans="1:5" ht="51" x14ac:dyDescent="0.25">
      <c r="A280" s="166" t="s">
        <v>1329</v>
      </c>
      <c r="B280" s="167" t="s">
        <v>316</v>
      </c>
      <c r="C280" s="168" t="s">
        <v>339</v>
      </c>
      <c r="D280" s="169" t="s">
        <v>1066</v>
      </c>
      <c r="E280" s="162" t="s">
        <v>169</v>
      </c>
    </row>
    <row r="281" spans="1:5" ht="51" x14ac:dyDescent="0.25">
      <c r="A281" s="166" t="s">
        <v>1330</v>
      </c>
      <c r="B281" s="167" t="s">
        <v>317</v>
      </c>
      <c r="C281" s="168" t="s">
        <v>339</v>
      </c>
      <c r="D281" s="169" t="s">
        <v>1066</v>
      </c>
      <c r="E281" s="162" t="s">
        <v>169</v>
      </c>
    </row>
    <row r="282" spans="1:5" ht="63.75" x14ac:dyDescent="0.25">
      <c r="A282" s="166" t="s">
        <v>1331</v>
      </c>
      <c r="B282" s="167" t="s">
        <v>319</v>
      </c>
      <c r="C282" s="168" t="s">
        <v>339</v>
      </c>
      <c r="D282" s="169" t="s">
        <v>1061</v>
      </c>
      <c r="E282" s="162" t="s">
        <v>169</v>
      </c>
    </row>
    <row r="283" spans="1:5" ht="63.75" x14ac:dyDescent="0.25">
      <c r="A283" s="166" t="s">
        <v>1332</v>
      </c>
      <c r="B283" s="167" t="s">
        <v>383</v>
      </c>
      <c r="C283" s="168" t="s">
        <v>339</v>
      </c>
      <c r="D283" s="169" t="s">
        <v>1061</v>
      </c>
      <c r="E283" s="162" t="s">
        <v>169</v>
      </c>
    </row>
    <row r="284" spans="1:5" ht="63.75" x14ac:dyDescent="0.25">
      <c r="A284" s="166" t="s">
        <v>1333</v>
      </c>
      <c r="B284" s="167" t="s">
        <v>384</v>
      </c>
      <c r="C284" s="168" t="s">
        <v>339</v>
      </c>
      <c r="D284" s="169" t="s">
        <v>1061</v>
      </c>
      <c r="E284" s="162" t="s">
        <v>169</v>
      </c>
    </row>
    <row r="285" spans="1:5" ht="63.75" x14ac:dyDescent="0.25">
      <c r="A285" s="166" t="s">
        <v>1334</v>
      </c>
      <c r="B285" s="167" t="s">
        <v>385</v>
      </c>
      <c r="C285" s="168" t="s">
        <v>339</v>
      </c>
      <c r="D285" s="169" t="s">
        <v>1061</v>
      </c>
      <c r="E285" s="162" t="s">
        <v>169</v>
      </c>
    </row>
    <row r="286" spans="1:5" ht="63.75" x14ac:dyDescent="0.25">
      <c r="A286" s="166" t="s">
        <v>1335</v>
      </c>
      <c r="B286" s="167" t="s">
        <v>386</v>
      </c>
      <c r="C286" s="168" t="s">
        <v>339</v>
      </c>
      <c r="D286" s="169" t="s">
        <v>1061</v>
      </c>
      <c r="E286" s="162" t="s">
        <v>169</v>
      </c>
    </row>
    <row r="287" spans="1:5" x14ac:dyDescent="0.25">
      <c r="A287" s="165" t="s">
        <v>395</v>
      </c>
      <c r="B287" s="263" t="s">
        <v>1336</v>
      </c>
      <c r="C287" s="264"/>
      <c r="D287" s="264"/>
      <c r="E287" s="264"/>
    </row>
    <row r="288" spans="1:5" ht="51" x14ac:dyDescent="0.25">
      <c r="A288" s="166" t="s">
        <v>1337</v>
      </c>
      <c r="B288" s="167" t="s">
        <v>1338</v>
      </c>
      <c r="C288" s="168" t="s">
        <v>339</v>
      </c>
      <c r="D288" s="169">
        <f>Quantitativos!C749</f>
        <v>2</v>
      </c>
      <c r="E288" s="162" t="s">
        <v>152</v>
      </c>
    </row>
    <row r="289" spans="1:5" ht="63.75" x14ac:dyDescent="0.25">
      <c r="A289" s="166" t="s">
        <v>1339</v>
      </c>
      <c r="B289" s="167" t="s">
        <v>1340</v>
      </c>
      <c r="C289" s="168" t="s">
        <v>339</v>
      </c>
      <c r="D289" s="169" t="s">
        <v>1107</v>
      </c>
      <c r="E289" s="162" t="s">
        <v>407</v>
      </c>
    </row>
    <row r="290" spans="1:5" ht="51" x14ac:dyDescent="0.25">
      <c r="A290" s="166" t="s">
        <v>1341</v>
      </c>
      <c r="B290" s="167" t="s">
        <v>1342</v>
      </c>
      <c r="C290" s="168" t="s">
        <v>339</v>
      </c>
      <c r="D290" s="169" t="s">
        <v>1107</v>
      </c>
      <c r="E290" s="162" t="s">
        <v>407</v>
      </c>
    </row>
    <row r="291" spans="1:5" ht="38.25" x14ac:dyDescent="0.25">
      <c r="A291" s="166" t="s">
        <v>1343</v>
      </c>
      <c r="B291" s="167" t="s">
        <v>1344</v>
      </c>
      <c r="C291" s="168" t="s">
        <v>339</v>
      </c>
      <c r="D291" s="169" t="s">
        <v>1107</v>
      </c>
      <c r="E291" s="162" t="s">
        <v>407</v>
      </c>
    </row>
    <row r="292" spans="1:5" ht="51" x14ac:dyDescent="0.25">
      <c r="A292" s="166" t="s">
        <v>1345</v>
      </c>
      <c r="B292" s="167" t="s">
        <v>1346</v>
      </c>
      <c r="C292" s="168" t="s">
        <v>339</v>
      </c>
      <c r="D292" s="169">
        <f>Quantitativos!C758</f>
        <v>8</v>
      </c>
      <c r="E292" s="162" t="s">
        <v>152</v>
      </c>
    </row>
    <row r="293" spans="1:5" ht="63.75" x14ac:dyDescent="0.25">
      <c r="A293" s="166" t="s">
        <v>1347</v>
      </c>
      <c r="B293" s="167" t="s">
        <v>1348</v>
      </c>
      <c r="C293" s="168" t="s">
        <v>339</v>
      </c>
      <c r="D293" s="169">
        <f>Quantitativos!C765</f>
        <v>2</v>
      </c>
      <c r="E293" s="162" t="s">
        <v>152</v>
      </c>
    </row>
    <row r="294" spans="1:5" ht="51" x14ac:dyDescent="0.25">
      <c r="A294" s="166" t="s">
        <v>1349</v>
      </c>
      <c r="B294" s="167" t="s">
        <v>1350</v>
      </c>
      <c r="C294" s="168" t="s">
        <v>339</v>
      </c>
      <c r="D294" s="169">
        <f>Quantitativos!C776</f>
        <v>6</v>
      </c>
      <c r="E294" s="162" t="s">
        <v>152</v>
      </c>
    </row>
    <row r="295" spans="1:5" ht="76.5" x14ac:dyDescent="0.25">
      <c r="A295" s="166" t="s">
        <v>1351</v>
      </c>
      <c r="B295" s="167" t="s">
        <v>1352</v>
      </c>
      <c r="C295" s="168" t="s">
        <v>339</v>
      </c>
      <c r="D295" s="169">
        <f>Quantitativos!C785</f>
        <v>6</v>
      </c>
      <c r="E295" s="162" t="s">
        <v>152</v>
      </c>
    </row>
    <row r="296" spans="1:5" ht="89.25" x14ac:dyDescent="0.25">
      <c r="A296" s="166" t="s">
        <v>1353</v>
      </c>
      <c r="B296" s="167" t="s">
        <v>1354</v>
      </c>
      <c r="C296" s="168" t="s">
        <v>339</v>
      </c>
      <c r="D296" s="169">
        <f>Quantitativos!C792</f>
        <v>2</v>
      </c>
      <c r="E296" s="162" t="s">
        <v>152</v>
      </c>
    </row>
    <row r="297" spans="1:5" ht="63.75" x14ac:dyDescent="0.25">
      <c r="A297" s="166" t="s">
        <v>1355</v>
      </c>
      <c r="B297" s="167" t="s">
        <v>1356</v>
      </c>
      <c r="C297" s="168" t="s">
        <v>339</v>
      </c>
      <c r="D297" s="169">
        <f>D293</f>
        <v>2</v>
      </c>
      <c r="E297" s="162" t="s">
        <v>1434</v>
      </c>
    </row>
    <row r="298" spans="1:5" ht="25.5" x14ac:dyDescent="0.25">
      <c r="A298" s="166" t="s">
        <v>1357</v>
      </c>
      <c r="B298" s="167" t="s">
        <v>1358</v>
      </c>
      <c r="C298" s="168" t="s">
        <v>339</v>
      </c>
      <c r="D298" s="169">
        <f>D292</f>
        <v>8</v>
      </c>
      <c r="E298" s="162" t="s">
        <v>1435</v>
      </c>
    </row>
    <row r="299" spans="1:5" x14ac:dyDescent="0.25">
      <c r="A299" s="165" t="s">
        <v>399</v>
      </c>
      <c r="B299" s="263" t="s">
        <v>1359</v>
      </c>
      <c r="C299" s="264"/>
      <c r="D299" s="264"/>
      <c r="E299" s="264"/>
    </row>
    <row r="300" spans="1:5" ht="25.5" x14ac:dyDescent="0.25">
      <c r="A300" s="166" t="s">
        <v>1360</v>
      </c>
      <c r="B300" s="167" t="s">
        <v>1361</v>
      </c>
      <c r="C300" s="168" t="s">
        <v>339</v>
      </c>
      <c r="D300" s="169" t="s">
        <v>1102</v>
      </c>
      <c r="E300" s="162" t="s">
        <v>447</v>
      </c>
    </row>
    <row r="301" spans="1:5" ht="38.25" x14ac:dyDescent="0.25">
      <c r="A301" s="166" t="s">
        <v>1362</v>
      </c>
      <c r="B301" s="167" t="s">
        <v>1363</v>
      </c>
      <c r="C301" s="168" t="s">
        <v>339</v>
      </c>
      <c r="D301" s="169" t="s">
        <v>1120</v>
      </c>
      <c r="E301" s="162" t="s">
        <v>1436</v>
      </c>
    </row>
    <row r="302" spans="1:5" ht="63.75" x14ac:dyDescent="0.25">
      <c r="A302" s="166" t="s">
        <v>1364</v>
      </c>
      <c r="B302" s="167" t="s">
        <v>1365</v>
      </c>
      <c r="C302" s="168" t="s">
        <v>339</v>
      </c>
      <c r="D302" s="169" t="s">
        <v>1102</v>
      </c>
      <c r="E302" s="162" t="s">
        <v>441</v>
      </c>
    </row>
    <row r="303" spans="1:5" ht="63.75" x14ac:dyDescent="0.25">
      <c r="A303" s="166" t="s">
        <v>1366</v>
      </c>
      <c r="B303" s="167" t="s">
        <v>1367</v>
      </c>
      <c r="C303" s="168" t="s">
        <v>339</v>
      </c>
      <c r="D303" s="169" t="s">
        <v>963</v>
      </c>
      <c r="E303" s="162" t="s">
        <v>442</v>
      </c>
    </row>
    <row r="304" spans="1:5" ht="63.75" x14ac:dyDescent="0.25">
      <c r="A304" s="166" t="s">
        <v>1368</v>
      </c>
      <c r="B304" s="167" t="s">
        <v>1369</v>
      </c>
      <c r="C304" s="168" t="s">
        <v>339</v>
      </c>
      <c r="D304" s="169" t="s">
        <v>1120</v>
      </c>
      <c r="E304" s="162" t="s">
        <v>439</v>
      </c>
    </row>
    <row r="305" spans="1:5" ht="51" x14ac:dyDescent="0.25">
      <c r="A305" s="166" t="s">
        <v>1370</v>
      </c>
      <c r="B305" s="167" t="s">
        <v>1371</v>
      </c>
      <c r="C305" s="168" t="s">
        <v>1372</v>
      </c>
      <c r="D305" s="169" t="s">
        <v>1102</v>
      </c>
      <c r="E305" s="162" t="s">
        <v>1437</v>
      </c>
    </row>
    <row r="306" spans="1:5" ht="89.25" x14ac:dyDescent="0.25">
      <c r="A306" s="166" t="s">
        <v>1373</v>
      </c>
      <c r="B306" s="167" t="s">
        <v>1374</v>
      </c>
      <c r="C306" s="168" t="s">
        <v>339</v>
      </c>
      <c r="D306" s="169" t="s">
        <v>1120</v>
      </c>
      <c r="E306" s="162" t="s">
        <v>439</v>
      </c>
    </row>
    <row r="307" spans="1:5" ht="25.5" x14ac:dyDescent="0.25">
      <c r="A307" s="166" t="s">
        <v>1375</v>
      </c>
      <c r="B307" s="167" t="s">
        <v>1376</v>
      </c>
      <c r="C307" s="168" t="s">
        <v>339</v>
      </c>
      <c r="D307" s="169" t="s">
        <v>963</v>
      </c>
      <c r="E307" s="162" t="s">
        <v>438</v>
      </c>
    </row>
    <row r="308" spans="1:5" ht="25.5" x14ac:dyDescent="0.25">
      <c r="A308" s="166" t="s">
        <v>1377</v>
      </c>
      <c r="B308" s="167" t="s">
        <v>1378</v>
      </c>
      <c r="C308" s="168" t="s">
        <v>339</v>
      </c>
      <c r="D308" s="169" t="s">
        <v>1107</v>
      </c>
      <c r="E308" s="162" t="s">
        <v>440</v>
      </c>
    </row>
    <row r="309" spans="1:5" x14ac:dyDescent="0.25">
      <c r="A309" s="165" t="s">
        <v>450</v>
      </c>
      <c r="B309" s="263" t="s">
        <v>1379</v>
      </c>
      <c r="C309" s="264"/>
      <c r="D309" s="264"/>
      <c r="E309" s="264"/>
    </row>
    <row r="310" spans="1:5" ht="51" x14ac:dyDescent="0.25">
      <c r="A310" s="166" t="s">
        <v>1341</v>
      </c>
      <c r="B310" s="167" t="s">
        <v>1342</v>
      </c>
      <c r="C310" s="168" t="s">
        <v>339</v>
      </c>
      <c r="D310" s="169" t="s">
        <v>939</v>
      </c>
      <c r="E310" s="162" t="s">
        <v>1438</v>
      </c>
    </row>
    <row r="311" spans="1:5" ht="38.25" x14ac:dyDescent="0.25">
      <c r="A311" s="166" t="s">
        <v>1380</v>
      </c>
      <c r="B311" s="167" t="s">
        <v>1381</v>
      </c>
      <c r="C311" s="168" t="s">
        <v>339</v>
      </c>
      <c r="D311" s="169" t="s">
        <v>1382</v>
      </c>
      <c r="E311" s="162" t="s">
        <v>893</v>
      </c>
    </row>
    <row r="312" spans="1:5" ht="38.25" x14ac:dyDescent="0.25">
      <c r="A312" s="166" t="s">
        <v>1383</v>
      </c>
      <c r="B312" s="167" t="s">
        <v>1384</v>
      </c>
      <c r="C312" s="168" t="s">
        <v>339</v>
      </c>
      <c r="D312" s="169" t="s">
        <v>1382</v>
      </c>
      <c r="E312" s="162" t="s">
        <v>893</v>
      </c>
    </row>
    <row r="313" spans="1:5" ht="38.25" x14ac:dyDescent="0.25">
      <c r="A313" s="166" t="s">
        <v>1385</v>
      </c>
      <c r="B313" s="167" t="s">
        <v>1386</v>
      </c>
      <c r="C313" s="168" t="s">
        <v>339</v>
      </c>
      <c r="D313" s="169" t="s">
        <v>1387</v>
      </c>
      <c r="E313" s="162" t="s">
        <v>1439</v>
      </c>
    </row>
    <row r="314" spans="1:5" x14ac:dyDescent="0.25">
      <c r="A314" s="165" t="s">
        <v>843</v>
      </c>
      <c r="B314" s="263" t="s">
        <v>844</v>
      </c>
      <c r="C314" s="264"/>
      <c r="D314" s="264"/>
      <c r="E314" s="264"/>
    </row>
    <row r="315" spans="1:5" x14ac:dyDescent="0.25">
      <c r="A315" s="165" t="s">
        <v>845</v>
      </c>
      <c r="B315" s="263" t="s">
        <v>1388</v>
      </c>
      <c r="C315" s="264"/>
      <c r="D315" s="264"/>
      <c r="E315" s="264"/>
    </row>
    <row r="316" spans="1:5" ht="89.25" x14ac:dyDescent="0.25">
      <c r="A316" s="166">
        <v>37539</v>
      </c>
      <c r="B316" s="167" t="s">
        <v>1389</v>
      </c>
      <c r="C316" s="168" t="s">
        <v>339</v>
      </c>
      <c r="D316" s="169" t="s">
        <v>1390</v>
      </c>
      <c r="E316" s="162" t="s">
        <v>1441</v>
      </c>
    </row>
    <row r="317" spans="1:5" ht="89.25" x14ac:dyDescent="0.25">
      <c r="A317" s="166">
        <v>37556</v>
      </c>
      <c r="B317" s="167" t="s">
        <v>1391</v>
      </c>
      <c r="C317" s="168" t="s">
        <v>339</v>
      </c>
      <c r="D317" s="169" t="s">
        <v>1392</v>
      </c>
      <c r="E317" s="162" t="s">
        <v>1442</v>
      </c>
    </row>
    <row r="318" spans="1:5" ht="89.25" x14ac:dyDescent="0.25">
      <c r="A318" s="166">
        <v>37557</v>
      </c>
      <c r="B318" s="167" t="s">
        <v>1393</v>
      </c>
      <c r="C318" s="168" t="s">
        <v>339</v>
      </c>
      <c r="D318" s="169" t="s">
        <v>1382</v>
      </c>
      <c r="E318" s="162" t="s">
        <v>1443</v>
      </c>
    </row>
    <row r="319" spans="1:5" ht="89.25" x14ac:dyDescent="0.25">
      <c r="A319" s="166">
        <v>37559</v>
      </c>
      <c r="B319" s="167" t="s">
        <v>1394</v>
      </c>
      <c r="C319" s="168" t="s">
        <v>339</v>
      </c>
      <c r="D319" s="169" t="s">
        <v>939</v>
      </c>
      <c r="E319" s="162" t="s">
        <v>1444</v>
      </c>
    </row>
    <row r="320" spans="1:5" ht="25.5" x14ac:dyDescent="0.25">
      <c r="A320" s="166" t="s">
        <v>1395</v>
      </c>
      <c r="B320" s="167" t="s">
        <v>1396</v>
      </c>
      <c r="C320" s="168" t="s">
        <v>366</v>
      </c>
      <c r="D320" s="169" t="s">
        <v>1397</v>
      </c>
      <c r="E320" s="162" t="s">
        <v>852</v>
      </c>
    </row>
    <row r="321" spans="1:6" ht="38.25" x14ac:dyDescent="0.25">
      <c r="A321" s="166" t="s">
        <v>1398</v>
      </c>
      <c r="B321" s="167" t="s">
        <v>1399</v>
      </c>
      <c r="C321" s="168" t="s">
        <v>350</v>
      </c>
      <c r="D321" s="169" t="s">
        <v>1400</v>
      </c>
      <c r="E321" s="162" t="s">
        <v>1445</v>
      </c>
    </row>
    <row r="322" spans="1:6" ht="38.25" x14ac:dyDescent="0.25">
      <c r="A322" s="166" t="s">
        <v>1401</v>
      </c>
      <c r="B322" s="167" t="s">
        <v>1402</v>
      </c>
      <c r="C322" s="168" t="s">
        <v>339</v>
      </c>
      <c r="D322" s="169" t="s">
        <v>1403</v>
      </c>
      <c r="E322" s="162" t="s">
        <v>850</v>
      </c>
    </row>
    <row r="323" spans="1:6" x14ac:dyDescent="0.25">
      <c r="A323" s="165" t="s">
        <v>1404</v>
      </c>
      <c r="B323" s="263" t="s">
        <v>1405</v>
      </c>
      <c r="C323" s="264"/>
      <c r="D323" s="264"/>
      <c r="E323" s="264"/>
    </row>
    <row r="324" spans="1:6" x14ac:dyDescent="0.25">
      <c r="A324" s="165" t="s">
        <v>1406</v>
      </c>
      <c r="B324" s="263" t="s">
        <v>1407</v>
      </c>
      <c r="C324" s="264"/>
      <c r="D324" s="264"/>
      <c r="E324" s="264"/>
    </row>
    <row r="325" spans="1:6" ht="25.5" x14ac:dyDescent="0.25">
      <c r="A325" s="166" t="s">
        <v>1408</v>
      </c>
      <c r="B325" s="167" t="s">
        <v>1409</v>
      </c>
      <c r="C325" s="168" t="s">
        <v>350</v>
      </c>
      <c r="D325" s="169" t="s">
        <v>1410</v>
      </c>
      <c r="E325" s="162" t="s">
        <v>1440</v>
      </c>
    </row>
    <row r="326" spans="1:6" s="185" customFormat="1" x14ac:dyDescent="0.25">
      <c r="A326" s="184" t="s">
        <v>918</v>
      </c>
      <c r="B326" s="267" t="s">
        <v>919</v>
      </c>
      <c r="C326" s="268"/>
      <c r="D326" s="268"/>
      <c r="E326" s="182"/>
    </row>
    <row r="327" spans="1:6" s="185" customFormat="1" x14ac:dyDescent="0.25">
      <c r="A327" s="184" t="s">
        <v>1576</v>
      </c>
      <c r="B327" s="267" t="s">
        <v>1577</v>
      </c>
      <c r="C327" s="268"/>
      <c r="D327" s="268"/>
      <c r="E327" s="182"/>
    </row>
    <row r="328" spans="1:6" s="185" customFormat="1" ht="25.5" x14ac:dyDescent="0.25">
      <c r="A328" s="186" t="s">
        <v>1578</v>
      </c>
      <c r="B328" s="187" t="s">
        <v>1579</v>
      </c>
      <c r="C328" s="188" t="s">
        <v>350</v>
      </c>
      <c r="D328" s="189" t="s">
        <v>1580</v>
      </c>
      <c r="E328" s="162" t="s">
        <v>1629</v>
      </c>
      <c r="F328" s="164"/>
    </row>
    <row r="329" spans="1:6" s="185" customFormat="1" x14ac:dyDescent="0.25">
      <c r="A329" s="184" t="s">
        <v>1581</v>
      </c>
      <c r="B329" s="267" t="s">
        <v>1582</v>
      </c>
      <c r="C329" s="268"/>
      <c r="D329" s="268"/>
      <c r="E329" s="182"/>
    </row>
    <row r="330" spans="1:6" s="185" customFormat="1" ht="25.5" x14ac:dyDescent="0.25">
      <c r="A330" s="186" t="s">
        <v>1583</v>
      </c>
      <c r="B330" s="187" t="s">
        <v>1584</v>
      </c>
      <c r="C330" s="188" t="s">
        <v>339</v>
      </c>
      <c r="D330" s="189" t="s">
        <v>1061</v>
      </c>
      <c r="E330" s="162" t="s">
        <v>1630</v>
      </c>
      <c r="F330" s="164"/>
    </row>
    <row r="331" spans="1:6" s="185" customFormat="1" x14ac:dyDescent="0.25">
      <c r="A331" s="184" t="s">
        <v>1585</v>
      </c>
      <c r="B331" s="267" t="s">
        <v>1586</v>
      </c>
      <c r="C331" s="268"/>
      <c r="D331" s="268"/>
      <c r="E331" s="182"/>
    </row>
    <row r="332" spans="1:6" s="185" customFormat="1" ht="25.5" x14ac:dyDescent="0.25">
      <c r="A332" s="186" t="s">
        <v>1587</v>
      </c>
      <c r="B332" s="187" t="s">
        <v>1588</v>
      </c>
      <c r="C332" s="188" t="s">
        <v>350</v>
      </c>
      <c r="D332" s="189" t="s">
        <v>1589</v>
      </c>
      <c r="E332" s="162" t="s">
        <v>931</v>
      </c>
    </row>
    <row r="333" spans="1:6" s="185" customFormat="1" ht="25.5" x14ac:dyDescent="0.25">
      <c r="A333" s="186" t="s">
        <v>1590</v>
      </c>
      <c r="B333" s="187" t="s">
        <v>1591</v>
      </c>
      <c r="C333" s="188" t="s">
        <v>350</v>
      </c>
      <c r="D333" s="189" t="s">
        <v>1589</v>
      </c>
      <c r="E333" s="162" t="s">
        <v>931</v>
      </c>
    </row>
    <row r="334" spans="1:6" s="185" customFormat="1" ht="25.5" x14ac:dyDescent="0.25">
      <c r="A334" s="186" t="s">
        <v>1592</v>
      </c>
      <c r="B334" s="187" t="s">
        <v>1593</v>
      </c>
      <c r="C334" s="188" t="s">
        <v>350</v>
      </c>
      <c r="D334" s="189" t="s">
        <v>1594</v>
      </c>
      <c r="E334" s="162" t="s">
        <v>1631</v>
      </c>
    </row>
    <row r="335" spans="1:6" s="185" customFormat="1" ht="25.5" x14ac:dyDescent="0.25">
      <c r="A335" s="186" t="s">
        <v>1595</v>
      </c>
      <c r="B335" s="187" t="s">
        <v>1596</v>
      </c>
      <c r="C335" s="188" t="s">
        <v>350</v>
      </c>
      <c r="D335" s="189" t="s">
        <v>1594</v>
      </c>
      <c r="E335" s="162" t="s">
        <v>1631</v>
      </c>
    </row>
    <row r="336" spans="1:6" s="185" customFormat="1" ht="25.5" x14ac:dyDescent="0.25">
      <c r="A336" s="186" t="s">
        <v>1597</v>
      </c>
      <c r="B336" s="187" t="s">
        <v>1598</v>
      </c>
      <c r="C336" s="188" t="s">
        <v>350</v>
      </c>
      <c r="D336" s="189" t="s">
        <v>1594</v>
      </c>
      <c r="E336" s="162" t="s">
        <v>1631</v>
      </c>
    </row>
    <row r="337" spans="1:5" s="185" customFormat="1" ht="25.5" x14ac:dyDescent="0.25">
      <c r="A337" s="186" t="s">
        <v>1599</v>
      </c>
      <c r="B337" s="187" t="s">
        <v>1600</v>
      </c>
      <c r="C337" s="188" t="s">
        <v>350</v>
      </c>
      <c r="D337" s="189" t="s">
        <v>1589</v>
      </c>
      <c r="E337" s="162" t="s">
        <v>931</v>
      </c>
    </row>
    <row r="338" spans="1:5" s="185" customFormat="1" ht="25.5" x14ac:dyDescent="0.25">
      <c r="A338" s="186" t="s">
        <v>1601</v>
      </c>
      <c r="B338" s="187" t="s">
        <v>1602</v>
      </c>
      <c r="C338" s="188" t="s">
        <v>350</v>
      </c>
      <c r="D338" s="189" t="s">
        <v>1589</v>
      </c>
      <c r="E338" s="162" t="s">
        <v>931</v>
      </c>
    </row>
    <row r="339" spans="1:5" s="185" customFormat="1" ht="25.5" x14ac:dyDescent="0.25">
      <c r="A339" s="186" t="s">
        <v>1603</v>
      </c>
      <c r="B339" s="187" t="s">
        <v>1604</v>
      </c>
      <c r="C339" s="188" t="s">
        <v>350</v>
      </c>
      <c r="D339" s="189" t="s">
        <v>1589</v>
      </c>
      <c r="E339" s="162" t="s">
        <v>931</v>
      </c>
    </row>
    <row r="340" spans="1:5" s="185" customFormat="1" ht="25.5" x14ac:dyDescent="0.25">
      <c r="A340" s="186" t="s">
        <v>1605</v>
      </c>
      <c r="B340" s="187" t="s">
        <v>1606</v>
      </c>
      <c r="C340" s="188" t="s">
        <v>350</v>
      </c>
      <c r="D340" s="189" t="s">
        <v>1589</v>
      </c>
      <c r="E340" s="162" t="s">
        <v>931</v>
      </c>
    </row>
    <row r="341" spans="1:5" s="185" customFormat="1" ht="25.5" x14ac:dyDescent="0.25">
      <c r="A341" s="186" t="s">
        <v>1607</v>
      </c>
      <c r="B341" s="187" t="s">
        <v>1608</v>
      </c>
      <c r="C341" s="188" t="s">
        <v>350</v>
      </c>
      <c r="D341" s="189" t="s">
        <v>1589</v>
      </c>
      <c r="E341" s="162" t="s">
        <v>931</v>
      </c>
    </row>
    <row r="342" spans="1:5" s="185" customFormat="1" ht="25.5" x14ac:dyDescent="0.25">
      <c r="A342" s="186" t="s">
        <v>1609</v>
      </c>
      <c r="B342" s="187" t="s">
        <v>1610</v>
      </c>
      <c r="C342" s="188" t="s">
        <v>350</v>
      </c>
      <c r="D342" s="189" t="s">
        <v>1589</v>
      </c>
      <c r="E342" s="162" t="s">
        <v>931</v>
      </c>
    </row>
    <row r="343" spans="1:5" s="185" customFormat="1" ht="25.5" x14ac:dyDescent="0.25">
      <c r="A343" s="186" t="s">
        <v>1611</v>
      </c>
      <c r="B343" s="187" t="s">
        <v>1612</v>
      </c>
      <c r="C343" s="188" t="s">
        <v>350</v>
      </c>
      <c r="D343" s="189" t="s">
        <v>1589</v>
      </c>
      <c r="E343" s="162" t="s">
        <v>931</v>
      </c>
    </row>
    <row r="344" spans="1:5" s="185" customFormat="1" ht="25.5" x14ac:dyDescent="0.25">
      <c r="A344" s="186" t="s">
        <v>1613</v>
      </c>
      <c r="B344" s="187" t="s">
        <v>1614</v>
      </c>
      <c r="C344" s="188" t="s">
        <v>350</v>
      </c>
      <c r="D344" s="189" t="s">
        <v>1589</v>
      </c>
      <c r="E344" s="162" t="s">
        <v>931</v>
      </c>
    </row>
    <row r="345" spans="1:5" s="185" customFormat="1" x14ac:dyDescent="0.25">
      <c r="A345" s="184" t="s">
        <v>1615</v>
      </c>
      <c r="B345" s="267" t="s">
        <v>1616</v>
      </c>
      <c r="C345" s="268"/>
      <c r="D345" s="268"/>
      <c r="E345" s="182"/>
    </row>
    <row r="346" spans="1:5" s="185" customFormat="1" x14ac:dyDescent="0.25">
      <c r="A346" s="184" t="s">
        <v>1617</v>
      </c>
      <c r="B346" s="267" t="s">
        <v>1618</v>
      </c>
      <c r="C346" s="268"/>
      <c r="D346" s="268"/>
      <c r="E346" s="182"/>
    </row>
    <row r="347" spans="1:5" s="185" customFormat="1" ht="38.25" x14ac:dyDescent="0.25">
      <c r="A347" s="186"/>
      <c r="B347" s="187" t="s">
        <v>1619</v>
      </c>
      <c r="C347" s="188" t="s">
        <v>360</v>
      </c>
      <c r="D347" s="189">
        <f>4*4*21+2*12*21</f>
        <v>840</v>
      </c>
      <c r="E347" s="162" t="s">
        <v>1645</v>
      </c>
    </row>
    <row r="348" spans="1:5" s="235" customFormat="1" ht="25.5" x14ac:dyDescent="0.25">
      <c r="A348" s="231"/>
      <c r="B348" s="232" t="s">
        <v>1634</v>
      </c>
      <c r="C348" s="233" t="s">
        <v>360</v>
      </c>
      <c r="D348" s="234">
        <f>4*3*21</f>
        <v>252</v>
      </c>
      <c r="E348" s="190" t="s">
        <v>1635</v>
      </c>
    </row>
    <row r="349" spans="1:5" s="185" customFormat="1" ht="25.5" x14ac:dyDescent="0.25">
      <c r="A349" s="186"/>
      <c r="B349" s="187" t="s">
        <v>1620</v>
      </c>
      <c r="C349" s="188" t="s">
        <v>360</v>
      </c>
      <c r="D349" s="189">
        <f>Quantitativos!F830</f>
        <v>8424</v>
      </c>
      <c r="E349" s="162" t="s">
        <v>152</v>
      </c>
    </row>
    <row r="350" spans="1:5" s="185" customFormat="1" ht="25.5" x14ac:dyDescent="0.25">
      <c r="A350" s="186"/>
      <c r="B350" s="187" t="s">
        <v>1621</v>
      </c>
      <c r="C350" s="188" t="s">
        <v>1453</v>
      </c>
      <c r="D350" s="189">
        <v>15</v>
      </c>
      <c r="E350" s="162" t="s">
        <v>1644</v>
      </c>
    </row>
    <row r="351" spans="1:5" s="185" customFormat="1" ht="25.5" x14ac:dyDescent="0.25">
      <c r="A351" s="186"/>
      <c r="B351" s="187" t="s">
        <v>1646</v>
      </c>
      <c r="C351" s="188" t="s">
        <v>1453</v>
      </c>
      <c r="D351" s="189">
        <v>18</v>
      </c>
      <c r="E351" s="162" t="s">
        <v>152</v>
      </c>
    </row>
    <row r="352" spans="1:5" s="185" customFormat="1" ht="25.5" x14ac:dyDescent="0.25">
      <c r="A352" s="186"/>
      <c r="B352" s="187" t="s">
        <v>1622</v>
      </c>
      <c r="C352" s="188" t="s">
        <v>1453</v>
      </c>
      <c r="D352" s="189">
        <v>18</v>
      </c>
      <c r="E352" s="162" t="s">
        <v>152</v>
      </c>
    </row>
    <row r="353" spans="1:5" s="185" customFormat="1" x14ac:dyDescent="0.25">
      <c r="A353" s="184" t="s">
        <v>1623</v>
      </c>
      <c r="B353" s="267" t="s">
        <v>1624</v>
      </c>
      <c r="C353" s="268"/>
      <c r="D353" s="268"/>
      <c r="E353" s="182"/>
    </row>
    <row r="354" spans="1:5" s="185" customFormat="1" ht="63.75" x14ac:dyDescent="0.25">
      <c r="A354" s="186">
        <v>20193</v>
      </c>
      <c r="B354" s="187" t="s">
        <v>1625</v>
      </c>
      <c r="C354" s="188" t="s">
        <v>1626</v>
      </c>
      <c r="D354" s="189">
        <f>3*D355</f>
        <v>177.75</v>
      </c>
      <c r="E354" s="162" t="s">
        <v>1633</v>
      </c>
    </row>
    <row r="355" spans="1:5" s="185" customFormat="1" ht="25.5" x14ac:dyDescent="0.25">
      <c r="A355" s="186" t="s">
        <v>1627</v>
      </c>
      <c r="B355" s="187" t="s">
        <v>1628</v>
      </c>
      <c r="C355" s="188" t="s">
        <v>350</v>
      </c>
      <c r="D355" s="189">
        <f>Quantitativos!J838</f>
        <v>59.25</v>
      </c>
      <c r="E355" s="162" t="s">
        <v>152</v>
      </c>
    </row>
  </sheetData>
  <mergeCells count="125">
    <mergeCell ref="B353:D353"/>
    <mergeCell ref="B327:D327"/>
    <mergeCell ref="B329:D329"/>
    <mergeCell ref="B331:D331"/>
    <mergeCell ref="B345:D345"/>
    <mergeCell ref="B346:D346"/>
    <mergeCell ref="B326:D326"/>
    <mergeCell ref="B66:D66"/>
    <mergeCell ref="B69:D69"/>
    <mergeCell ref="B72:D72"/>
    <mergeCell ref="B73:D73"/>
    <mergeCell ref="B75:D75"/>
    <mergeCell ref="B113:E113"/>
    <mergeCell ref="B78:E78"/>
    <mergeCell ref="B79:E79"/>
    <mergeCell ref="B80:E80"/>
    <mergeCell ref="B81:E81"/>
    <mergeCell ref="B83:E83"/>
    <mergeCell ref="B84:E84"/>
    <mergeCell ref="B86:E86"/>
    <mergeCell ref="B88:E88"/>
    <mergeCell ref="B94:E94"/>
    <mergeCell ref="B103:E103"/>
    <mergeCell ref="B108:E108"/>
    <mergeCell ref="B60:D60"/>
    <mergeCell ref="B62:D62"/>
    <mergeCell ref="B64:D64"/>
    <mergeCell ref="B65:D65"/>
    <mergeCell ref="B48:D48"/>
    <mergeCell ref="B49:D49"/>
    <mergeCell ref="B50:D50"/>
    <mergeCell ref="B52:D52"/>
    <mergeCell ref="B55:D55"/>
    <mergeCell ref="B42:D42"/>
    <mergeCell ref="B44:D44"/>
    <mergeCell ref="B46:D46"/>
    <mergeCell ref="B27:D27"/>
    <mergeCell ref="B29:D29"/>
    <mergeCell ref="B31:D31"/>
    <mergeCell ref="B32:D32"/>
    <mergeCell ref="B35:D35"/>
    <mergeCell ref="B57:D57"/>
    <mergeCell ref="B20:D20"/>
    <mergeCell ref="B21:D21"/>
    <mergeCell ref="B22:D22"/>
    <mergeCell ref="B23:D23"/>
    <mergeCell ref="B25:D25"/>
    <mergeCell ref="B16:E16"/>
    <mergeCell ref="B17:E17"/>
    <mergeCell ref="B39:D39"/>
    <mergeCell ref="B41:D41"/>
    <mergeCell ref="B137:E137"/>
    <mergeCell ref="B114:E114"/>
    <mergeCell ref="B116:E116"/>
    <mergeCell ref="B118:E118"/>
    <mergeCell ref="B119:E119"/>
    <mergeCell ref="B120:E120"/>
    <mergeCell ref="B122:E122"/>
    <mergeCell ref="B125:E125"/>
    <mergeCell ref="B127:E127"/>
    <mergeCell ref="B129:E129"/>
    <mergeCell ref="B133:E133"/>
    <mergeCell ref="B134:E134"/>
    <mergeCell ref="B188:E188"/>
    <mergeCell ref="B139:E139"/>
    <mergeCell ref="B146:E146"/>
    <mergeCell ref="B160:E160"/>
    <mergeCell ref="B168:E168"/>
    <mergeCell ref="B169:E169"/>
    <mergeCell ref="B171:E171"/>
    <mergeCell ref="B174:E174"/>
    <mergeCell ref="B175:E175"/>
    <mergeCell ref="B177:E177"/>
    <mergeCell ref="B179:E179"/>
    <mergeCell ref="B182:E182"/>
    <mergeCell ref="B257:E257"/>
    <mergeCell ref="B259:E259"/>
    <mergeCell ref="B262:E262"/>
    <mergeCell ref="B264:E264"/>
    <mergeCell ref="B265:E265"/>
    <mergeCell ref="B218:E218"/>
    <mergeCell ref="B189:E189"/>
    <mergeCell ref="B192:E192"/>
    <mergeCell ref="B194:E194"/>
    <mergeCell ref="B196:E196"/>
    <mergeCell ref="B198:E198"/>
    <mergeCell ref="B204:E204"/>
    <mergeCell ref="B206:E206"/>
    <mergeCell ref="B207:E207"/>
    <mergeCell ref="B210:E210"/>
    <mergeCell ref="B214:E214"/>
    <mergeCell ref="B217:E217"/>
    <mergeCell ref="B235:E235"/>
    <mergeCell ref="B237:E237"/>
    <mergeCell ref="B240:E240"/>
    <mergeCell ref="B243:E243"/>
    <mergeCell ref="B244:E244"/>
    <mergeCell ref="B249:E249"/>
    <mergeCell ref="B250:E250"/>
    <mergeCell ref="B253:E253"/>
    <mergeCell ref="B255:E255"/>
    <mergeCell ref="B9:D9"/>
    <mergeCell ref="B10:D10"/>
    <mergeCell ref="B11:E11"/>
    <mergeCell ref="A4:E4"/>
    <mergeCell ref="A3:E3"/>
    <mergeCell ref="A2:E2"/>
    <mergeCell ref="B323:E323"/>
    <mergeCell ref="B324:E324"/>
    <mergeCell ref="B277:E277"/>
    <mergeCell ref="B287:E287"/>
    <mergeCell ref="B299:E299"/>
    <mergeCell ref="B309:E309"/>
    <mergeCell ref="B314:E314"/>
    <mergeCell ref="B315:E315"/>
    <mergeCell ref="B275:E275"/>
    <mergeCell ref="B267:E267"/>
    <mergeCell ref="B271:E271"/>
    <mergeCell ref="B246:E246"/>
    <mergeCell ref="B220:E220"/>
    <mergeCell ref="B222:E222"/>
    <mergeCell ref="B223:E223"/>
    <mergeCell ref="B229:E229"/>
    <mergeCell ref="B231:E231"/>
    <mergeCell ref="B233:E233"/>
  </mergeCells>
  <printOptions horizontalCentered="1"/>
  <pageMargins left="0.25" right="0.25" top="0.75" bottom="0.75" header="0.3" footer="0.3"/>
  <pageSetup paperSize="9" scale="88" orientation="portrait" r:id="rId1"/>
  <headerFooter>
    <oddFooter>&amp;CEng. Civil Daniele Firme Miranda
CREA nº 24965/D-DF
ART nº 0720200047165</oddFooter>
  </headerFooter>
  <rowBreaks count="5" manualBreakCount="5">
    <brk id="34" max="16383" man="1"/>
    <brk id="61" max="16383" man="1"/>
    <brk id="87" max="16383" man="1"/>
    <brk id="178" max="16383" man="1"/>
    <brk id="22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36B36-7180-47B2-977B-CE8C5C817DE7}">
  <dimension ref="A1:F319"/>
  <sheetViews>
    <sheetView workbookViewId="0">
      <pane ySplit="1" topLeftCell="A305" activePane="bottomLeft" state="frozen"/>
      <selection pane="bottomLeft" activeCell="E311" sqref="E311"/>
    </sheetView>
  </sheetViews>
  <sheetFormatPr defaultRowHeight="15" x14ac:dyDescent="0.25"/>
  <cols>
    <col min="1" max="1" width="11.7109375" style="16" bestFit="1" customWidth="1"/>
    <col min="2" max="2" width="62.28515625" style="8" customWidth="1"/>
    <col min="3" max="3" width="9.140625" style="12"/>
    <col min="4" max="4" width="9.140625" style="7"/>
    <col min="5" max="5" width="75.7109375" style="7" customWidth="1"/>
    <col min="6" max="6" width="6" style="7" bestFit="1" customWidth="1"/>
    <col min="7" max="16384" width="9.140625" style="7"/>
  </cols>
  <sheetData>
    <row r="1" spans="1:5" s="95" customFormat="1" x14ac:dyDescent="0.25">
      <c r="A1" s="95" t="s">
        <v>50</v>
      </c>
      <c r="B1" s="96" t="s">
        <v>51</v>
      </c>
      <c r="C1" s="97" t="s">
        <v>52</v>
      </c>
      <c r="D1" s="95" t="s">
        <v>53</v>
      </c>
      <c r="E1" s="95" t="s">
        <v>54</v>
      </c>
    </row>
    <row r="2" spans="1:5" s="1" customFormat="1" x14ac:dyDescent="0.25">
      <c r="A2" s="13" t="s">
        <v>899</v>
      </c>
      <c r="B2" s="2" t="s">
        <v>900</v>
      </c>
      <c r="C2" s="9"/>
    </row>
    <row r="4" spans="1:5" s="3" customFormat="1" x14ac:dyDescent="0.25">
      <c r="A4" s="14" t="s">
        <v>901</v>
      </c>
      <c r="B4" s="4" t="s">
        <v>902</v>
      </c>
      <c r="C4" s="10"/>
    </row>
    <row r="6" spans="1:5" s="5" customFormat="1" x14ac:dyDescent="0.25">
      <c r="A6" s="15" t="s">
        <v>903</v>
      </c>
      <c r="B6" s="6" t="s">
        <v>904</v>
      </c>
      <c r="C6" s="11"/>
    </row>
    <row r="7" spans="1:5" s="160" customFormat="1" x14ac:dyDescent="0.25">
      <c r="A7" s="157" t="s">
        <v>907</v>
      </c>
      <c r="B7" s="158" t="s">
        <v>905</v>
      </c>
      <c r="C7" s="159">
        <f>Quantitativos!C23</f>
        <v>14</v>
      </c>
      <c r="D7" s="160" t="s">
        <v>168</v>
      </c>
      <c r="E7" s="160" t="s">
        <v>914</v>
      </c>
    </row>
    <row r="8" spans="1:5" s="160" customFormat="1" x14ac:dyDescent="0.25">
      <c r="A8" s="157" t="s">
        <v>908</v>
      </c>
      <c r="B8" s="158" t="s">
        <v>906</v>
      </c>
      <c r="C8" s="159">
        <f>4*C7</f>
        <v>56</v>
      </c>
      <c r="D8" s="160" t="s">
        <v>168</v>
      </c>
      <c r="E8" s="160" t="s">
        <v>915</v>
      </c>
    </row>
    <row r="9" spans="1:5" s="34" customFormat="1" x14ac:dyDescent="0.25">
      <c r="A9" s="31"/>
      <c r="B9" s="32"/>
      <c r="C9" s="33"/>
    </row>
    <row r="10" spans="1:5" s="34" customFormat="1" x14ac:dyDescent="0.25">
      <c r="A10" s="31"/>
      <c r="B10" s="32"/>
      <c r="C10" s="33"/>
    </row>
    <row r="11" spans="1:5" s="34" customFormat="1" x14ac:dyDescent="0.25">
      <c r="A11" s="31"/>
      <c r="B11" s="32"/>
      <c r="C11" s="33"/>
    </row>
    <row r="12" spans="1:5" s="1" customFormat="1" x14ac:dyDescent="0.25">
      <c r="A12" s="13" t="s">
        <v>1</v>
      </c>
      <c r="B12" s="2" t="s">
        <v>3</v>
      </c>
      <c r="C12" s="9"/>
    </row>
    <row r="14" spans="1:5" s="3" customFormat="1" x14ac:dyDescent="0.25">
      <c r="A14" s="14" t="s">
        <v>2</v>
      </c>
      <c r="B14" s="4" t="s">
        <v>4</v>
      </c>
      <c r="C14" s="10"/>
    </row>
    <row r="16" spans="1:5" s="5" customFormat="1" x14ac:dyDescent="0.25">
      <c r="A16" s="15" t="s">
        <v>0</v>
      </c>
      <c r="B16" s="6" t="s">
        <v>5</v>
      </c>
      <c r="C16" s="11"/>
    </row>
    <row r="17" spans="1:5" s="160" customFormat="1" x14ac:dyDescent="0.25">
      <c r="A17" s="157" t="s">
        <v>740</v>
      </c>
      <c r="B17" s="158" t="s">
        <v>737</v>
      </c>
      <c r="C17" s="159">
        <f>Quantitativos!K30</f>
        <v>0.51</v>
      </c>
      <c r="D17" s="160" t="s">
        <v>521</v>
      </c>
      <c r="E17" s="160" t="s">
        <v>152</v>
      </c>
    </row>
    <row r="18" spans="1:5" s="160" customFormat="1" ht="30" x14ac:dyDescent="0.25">
      <c r="A18" s="157" t="s">
        <v>738</v>
      </c>
      <c r="B18" s="158" t="s">
        <v>746</v>
      </c>
      <c r="C18" s="159">
        <f>Quantitativos!K39</f>
        <v>1.35</v>
      </c>
      <c r="D18" s="160" t="s">
        <v>521</v>
      </c>
      <c r="E18" s="160" t="s">
        <v>152</v>
      </c>
    </row>
    <row r="19" spans="1:5" s="160" customFormat="1" x14ac:dyDescent="0.25">
      <c r="A19" s="157" t="s">
        <v>743</v>
      </c>
      <c r="B19" s="158" t="s">
        <v>744</v>
      </c>
      <c r="C19" s="159">
        <f>Quantitativos!K46</f>
        <v>0.14000000000000001</v>
      </c>
      <c r="D19" s="160" t="s">
        <v>521</v>
      </c>
      <c r="E19" s="160" t="s">
        <v>152</v>
      </c>
    </row>
    <row r="20" spans="1:5" s="160" customFormat="1" x14ac:dyDescent="0.25">
      <c r="A20" s="157" t="s">
        <v>749</v>
      </c>
      <c r="B20" s="158" t="s">
        <v>750</v>
      </c>
      <c r="C20" s="159">
        <f>228.49+45</f>
        <v>273.49</v>
      </c>
      <c r="D20" s="160" t="s">
        <v>151</v>
      </c>
      <c r="E20" s="160" t="s">
        <v>778</v>
      </c>
    </row>
    <row r="21" spans="1:5" s="34" customFormat="1" x14ac:dyDescent="0.25">
      <c r="A21" s="31"/>
      <c r="B21" s="32"/>
      <c r="C21" s="33"/>
    </row>
    <row r="22" spans="1:5" s="5" customFormat="1" x14ac:dyDescent="0.25">
      <c r="A22" s="15" t="s">
        <v>6</v>
      </c>
      <c r="B22" s="6" t="s">
        <v>7</v>
      </c>
      <c r="C22" s="11"/>
    </row>
    <row r="23" spans="1:5" s="160" customFormat="1" x14ac:dyDescent="0.25">
      <c r="A23" s="157" t="s">
        <v>751</v>
      </c>
      <c r="B23" s="158" t="s">
        <v>752</v>
      </c>
      <c r="C23" s="159">
        <f>Quantitativos!J53</f>
        <v>171</v>
      </c>
      <c r="D23" s="160" t="s">
        <v>151</v>
      </c>
      <c r="E23" s="160" t="s">
        <v>152</v>
      </c>
    </row>
    <row r="24" spans="1:5" s="160" customFormat="1" x14ac:dyDescent="0.25">
      <c r="A24" s="157" t="s">
        <v>760</v>
      </c>
      <c r="B24" s="158" t="s">
        <v>756</v>
      </c>
      <c r="C24" s="159">
        <f>1.35*2.1</f>
        <v>2.8350000000000004</v>
      </c>
      <c r="D24" s="160" t="s">
        <v>151</v>
      </c>
      <c r="E24" s="160" t="s">
        <v>757</v>
      </c>
    </row>
    <row r="25" spans="1:5" s="160" customFormat="1" x14ac:dyDescent="0.25">
      <c r="A25" s="157" t="s">
        <v>895</v>
      </c>
      <c r="B25" s="158" t="s">
        <v>758</v>
      </c>
      <c r="C25" s="159">
        <v>4</v>
      </c>
      <c r="D25" s="160" t="s">
        <v>759</v>
      </c>
    </row>
    <row r="27" spans="1:5" s="5" customFormat="1" x14ac:dyDescent="0.25">
      <c r="A27" s="15" t="s">
        <v>8</v>
      </c>
      <c r="B27" s="6" t="s">
        <v>9</v>
      </c>
      <c r="C27" s="11"/>
    </row>
    <row r="28" spans="1:5" s="160" customFormat="1" x14ac:dyDescent="0.25">
      <c r="A28" s="157"/>
      <c r="B28" s="158" t="s">
        <v>761</v>
      </c>
      <c r="C28" s="159">
        <f>Quantitativos!K67</f>
        <v>19.46</v>
      </c>
      <c r="D28" s="160" t="s">
        <v>521</v>
      </c>
      <c r="E28" s="160" t="s">
        <v>152</v>
      </c>
    </row>
    <row r="30" spans="1:5" s="3" customFormat="1" x14ac:dyDescent="0.25">
      <c r="A30" s="14" t="s">
        <v>771</v>
      </c>
      <c r="B30" s="4" t="s">
        <v>772</v>
      </c>
      <c r="C30" s="10"/>
    </row>
    <row r="32" spans="1:5" s="5" customFormat="1" x14ac:dyDescent="0.25">
      <c r="A32" s="15" t="s">
        <v>773</v>
      </c>
      <c r="B32" s="6" t="s">
        <v>774</v>
      </c>
      <c r="C32" s="11"/>
    </row>
    <row r="33" spans="1:5" s="160" customFormat="1" x14ac:dyDescent="0.25">
      <c r="A33" s="157"/>
      <c r="B33" s="158" t="s">
        <v>775</v>
      </c>
      <c r="C33" s="159">
        <v>1066.3499999999999</v>
      </c>
      <c r="D33" s="160" t="s">
        <v>151</v>
      </c>
      <c r="E33" s="160" t="s">
        <v>777</v>
      </c>
    </row>
    <row r="34" spans="1:5" s="160" customFormat="1" x14ac:dyDescent="0.25">
      <c r="A34" s="157"/>
      <c r="B34" s="158" t="s">
        <v>776</v>
      </c>
      <c r="C34" s="159">
        <v>909.5</v>
      </c>
      <c r="D34" s="160" t="s">
        <v>151</v>
      </c>
      <c r="E34" s="160" t="s">
        <v>777</v>
      </c>
    </row>
    <row r="35" spans="1:5" s="34" customFormat="1" x14ac:dyDescent="0.25">
      <c r="A35" s="31"/>
      <c r="B35" s="32"/>
      <c r="C35" s="33"/>
    </row>
    <row r="36" spans="1:5" s="5" customFormat="1" x14ac:dyDescent="0.25">
      <c r="A36" s="15" t="s">
        <v>810</v>
      </c>
      <c r="B36" s="6" t="s">
        <v>811</v>
      </c>
      <c r="C36" s="11"/>
    </row>
    <row r="37" spans="1:5" s="34" customFormat="1" x14ac:dyDescent="0.25">
      <c r="A37" s="31"/>
      <c r="B37" s="32" t="s">
        <v>812</v>
      </c>
      <c r="C37" s="33">
        <v>440.54</v>
      </c>
      <c r="D37" s="34" t="s">
        <v>521</v>
      </c>
      <c r="E37" s="34" t="s">
        <v>813</v>
      </c>
    </row>
    <row r="38" spans="1:5" s="34" customFormat="1" x14ac:dyDescent="0.25">
      <c r="A38" s="31"/>
      <c r="B38" s="32"/>
      <c r="C38" s="33"/>
    </row>
    <row r="39" spans="1:5" s="5" customFormat="1" x14ac:dyDescent="0.25">
      <c r="A39" s="15" t="s">
        <v>814</v>
      </c>
      <c r="B39" s="6" t="s">
        <v>815</v>
      </c>
      <c r="C39" s="11"/>
    </row>
    <row r="40" spans="1:5" s="34" customFormat="1" x14ac:dyDescent="0.25">
      <c r="A40" s="31"/>
      <c r="B40" s="32" t="s">
        <v>816</v>
      </c>
      <c r="C40" s="33">
        <f>771+153</f>
        <v>924</v>
      </c>
      <c r="D40" s="34" t="s">
        <v>151</v>
      </c>
      <c r="E40" s="34" t="s">
        <v>817</v>
      </c>
    </row>
    <row r="41" spans="1:5" s="34" customFormat="1" x14ac:dyDescent="0.25">
      <c r="A41" s="31"/>
      <c r="B41" s="32"/>
      <c r="C41" s="33"/>
    </row>
    <row r="42" spans="1:5" s="5" customFormat="1" x14ac:dyDescent="0.25">
      <c r="A42" s="15" t="s">
        <v>818</v>
      </c>
      <c r="B42" s="6" t="s">
        <v>819</v>
      </c>
      <c r="C42" s="11"/>
    </row>
    <row r="43" spans="1:5" s="34" customFormat="1" x14ac:dyDescent="0.25">
      <c r="A43" s="31"/>
      <c r="B43" s="32" t="s">
        <v>820</v>
      </c>
      <c r="C43" s="33">
        <f>Quantitativos!K75</f>
        <v>847.05</v>
      </c>
      <c r="D43" s="34" t="s">
        <v>521</v>
      </c>
      <c r="E43" s="34" t="s">
        <v>152</v>
      </c>
    </row>
    <row r="44" spans="1:5" s="34" customFormat="1" x14ac:dyDescent="0.25">
      <c r="A44" s="31"/>
      <c r="B44" s="32"/>
      <c r="C44" s="33"/>
    </row>
    <row r="45" spans="1:5" s="1" customFormat="1" x14ac:dyDescent="0.25">
      <c r="A45" s="13" t="s">
        <v>460</v>
      </c>
      <c r="B45" s="2" t="s">
        <v>463</v>
      </c>
      <c r="C45" s="9"/>
    </row>
    <row r="46" spans="1:5" s="133" customFormat="1" x14ac:dyDescent="0.25">
      <c r="A46" s="130"/>
      <c r="B46" s="131"/>
      <c r="C46" s="132"/>
    </row>
    <row r="47" spans="1:5" s="3" customFormat="1" x14ac:dyDescent="0.25">
      <c r="A47" s="14" t="s">
        <v>563</v>
      </c>
      <c r="B47" s="4" t="s">
        <v>564</v>
      </c>
      <c r="C47" s="10"/>
    </row>
    <row r="49" spans="1:5" s="5" customFormat="1" x14ac:dyDescent="0.25">
      <c r="A49" s="15" t="s">
        <v>779</v>
      </c>
      <c r="B49" s="6" t="s">
        <v>780</v>
      </c>
      <c r="C49" s="11"/>
    </row>
    <row r="50" spans="1:5" s="174" customFormat="1" x14ac:dyDescent="0.25">
      <c r="A50" s="171"/>
      <c r="B50" s="172" t="s">
        <v>916</v>
      </c>
      <c r="C50" s="173">
        <f>Quantitativos!J90</f>
        <v>442.75</v>
      </c>
      <c r="D50" s="174" t="s">
        <v>151</v>
      </c>
      <c r="E50" s="160" t="s">
        <v>152</v>
      </c>
    </row>
    <row r="51" spans="1:5" s="38" customFormat="1" x14ac:dyDescent="0.25">
      <c r="A51" s="35"/>
      <c r="B51" s="36"/>
      <c r="C51" s="37"/>
    </row>
    <row r="52" spans="1:5" s="3" customFormat="1" x14ac:dyDescent="0.25">
      <c r="A52" s="14" t="s">
        <v>462</v>
      </c>
      <c r="B52" s="4" t="s">
        <v>461</v>
      </c>
      <c r="C52" s="10"/>
    </row>
    <row r="54" spans="1:5" s="160" customFormat="1" x14ac:dyDescent="0.25">
      <c r="A54" s="157" t="s">
        <v>783</v>
      </c>
      <c r="B54" s="158" t="s">
        <v>784</v>
      </c>
      <c r="C54" s="159">
        <f>Quantitativos!J97</f>
        <v>7.6</v>
      </c>
      <c r="D54" s="160" t="s">
        <v>151</v>
      </c>
      <c r="E54" s="160" t="s">
        <v>152</v>
      </c>
    </row>
    <row r="56" spans="1:5" s="5" customFormat="1" x14ac:dyDescent="0.25">
      <c r="A56" s="15" t="s">
        <v>574</v>
      </c>
      <c r="B56" s="6" t="s">
        <v>575</v>
      </c>
      <c r="C56" s="11"/>
    </row>
    <row r="57" spans="1:5" s="174" customFormat="1" x14ac:dyDescent="0.25">
      <c r="A57" s="171" t="s">
        <v>580</v>
      </c>
      <c r="B57" s="172" t="s">
        <v>547</v>
      </c>
      <c r="C57" s="173">
        <f>Quantitativos!J106</f>
        <v>5.13</v>
      </c>
      <c r="D57" s="174" t="s">
        <v>151</v>
      </c>
      <c r="E57" s="174" t="s">
        <v>152</v>
      </c>
    </row>
    <row r="58" spans="1:5" s="174" customFormat="1" x14ac:dyDescent="0.25">
      <c r="A58" s="171" t="s">
        <v>581</v>
      </c>
      <c r="B58" s="172" t="s">
        <v>554</v>
      </c>
      <c r="C58" s="173">
        <v>8</v>
      </c>
      <c r="D58" s="174" t="s">
        <v>562</v>
      </c>
      <c r="E58" s="174" t="s">
        <v>576</v>
      </c>
    </row>
    <row r="59" spans="1:5" s="174" customFormat="1" x14ac:dyDescent="0.25">
      <c r="A59" s="171" t="s">
        <v>582</v>
      </c>
      <c r="B59" s="172" t="s">
        <v>557</v>
      </c>
      <c r="C59" s="173">
        <v>8</v>
      </c>
      <c r="D59" s="174" t="s">
        <v>562</v>
      </c>
      <c r="E59" s="174" t="s">
        <v>576</v>
      </c>
    </row>
    <row r="60" spans="1:5" s="174" customFormat="1" x14ac:dyDescent="0.25">
      <c r="A60" s="171" t="s">
        <v>583</v>
      </c>
      <c r="B60" s="172" t="s">
        <v>558</v>
      </c>
      <c r="C60" s="173">
        <v>26</v>
      </c>
      <c r="D60" s="174" t="s">
        <v>562</v>
      </c>
      <c r="E60" s="174" t="s">
        <v>576</v>
      </c>
    </row>
    <row r="61" spans="1:5" s="174" customFormat="1" x14ac:dyDescent="0.25">
      <c r="A61" s="171" t="s">
        <v>584</v>
      </c>
      <c r="B61" s="172" t="s">
        <v>546</v>
      </c>
      <c r="C61" s="173">
        <f>Quantitativos!K115</f>
        <v>0.24</v>
      </c>
      <c r="D61" s="174" t="s">
        <v>521</v>
      </c>
      <c r="E61" s="174" t="s">
        <v>152</v>
      </c>
    </row>
    <row r="62" spans="1:5" s="38" customFormat="1" x14ac:dyDescent="0.25">
      <c r="A62" s="35"/>
      <c r="B62" s="36"/>
      <c r="C62" s="37"/>
    </row>
    <row r="63" spans="1:5" s="5" customFormat="1" x14ac:dyDescent="0.25">
      <c r="A63" s="15" t="s">
        <v>540</v>
      </c>
      <c r="B63" s="6" t="s">
        <v>541</v>
      </c>
      <c r="C63" s="11"/>
    </row>
    <row r="64" spans="1:5" s="174" customFormat="1" x14ac:dyDescent="0.25">
      <c r="A64" s="171" t="s">
        <v>542</v>
      </c>
      <c r="B64" s="172" t="s">
        <v>547</v>
      </c>
      <c r="C64" s="173">
        <v>404.35</v>
      </c>
      <c r="D64" s="174" t="s">
        <v>151</v>
      </c>
      <c r="E64" s="174" t="s">
        <v>548</v>
      </c>
    </row>
    <row r="65" spans="1:5" s="174" customFormat="1" x14ac:dyDescent="0.25">
      <c r="A65" s="171" t="s">
        <v>545</v>
      </c>
      <c r="B65" s="172" t="s">
        <v>554</v>
      </c>
      <c r="C65" s="173">
        <f>96+79+58+61</f>
        <v>294</v>
      </c>
      <c r="D65" s="174" t="s">
        <v>562</v>
      </c>
      <c r="E65" s="174" t="s">
        <v>560</v>
      </c>
    </row>
    <row r="66" spans="1:5" s="174" customFormat="1" x14ac:dyDescent="0.25">
      <c r="A66" s="171" t="s">
        <v>549</v>
      </c>
      <c r="B66" s="172" t="s">
        <v>555</v>
      </c>
      <c r="C66" s="173">
        <f>140+45+186+87</f>
        <v>458</v>
      </c>
      <c r="D66" s="174" t="s">
        <v>562</v>
      </c>
      <c r="E66" s="174" t="s">
        <v>560</v>
      </c>
    </row>
    <row r="67" spans="1:5" s="174" customFormat="1" x14ac:dyDescent="0.25">
      <c r="A67" s="171" t="s">
        <v>550</v>
      </c>
      <c r="B67" s="172" t="s">
        <v>556</v>
      </c>
      <c r="C67" s="173">
        <f>74+61+46+52</f>
        <v>233</v>
      </c>
      <c r="D67" s="174" t="s">
        <v>562</v>
      </c>
      <c r="E67" s="174" t="s">
        <v>560</v>
      </c>
    </row>
    <row r="68" spans="1:5" s="174" customFormat="1" x14ac:dyDescent="0.25">
      <c r="A68" s="171" t="s">
        <v>551</v>
      </c>
      <c r="B68" s="172" t="s">
        <v>557</v>
      </c>
      <c r="C68" s="173">
        <f>199+127+175+150</f>
        <v>651</v>
      </c>
      <c r="D68" s="174" t="s">
        <v>562</v>
      </c>
      <c r="E68" s="174" t="s">
        <v>560</v>
      </c>
    </row>
    <row r="69" spans="1:5" s="174" customFormat="1" x14ac:dyDescent="0.25">
      <c r="A69" s="171" t="s">
        <v>552</v>
      </c>
      <c r="B69" s="172" t="s">
        <v>558</v>
      </c>
      <c r="C69" s="173">
        <f>50+18+61+8</f>
        <v>137</v>
      </c>
      <c r="D69" s="174" t="s">
        <v>562</v>
      </c>
      <c r="E69" s="174" t="s">
        <v>560</v>
      </c>
    </row>
    <row r="70" spans="1:5" s="174" customFormat="1" x14ac:dyDescent="0.25">
      <c r="A70" s="171" t="s">
        <v>553</v>
      </c>
      <c r="B70" s="172" t="s">
        <v>559</v>
      </c>
      <c r="C70" s="173">
        <f>123+53</f>
        <v>176</v>
      </c>
      <c r="D70" s="174" t="s">
        <v>562</v>
      </c>
      <c r="E70" s="174" t="s">
        <v>561</v>
      </c>
    </row>
    <row r="71" spans="1:5" s="174" customFormat="1" x14ac:dyDescent="0.25">
      <c r="A71" s="171" t="s">
        <v>544</v>
      </c>
      <c r="B71" s="172" t="s">
        <v>546</v>
      </c>
      <c r="C71" s="173">
        <v>26.56</v>
      </c>
      <c r="D71" s="174" t="s">
        <v>521</v>
      </c>
      <c r="E71" s="174" t="s">
        <v>548</v>
      </c>
    </row>
    <row r="72" spans="1:5" s="38" customFormat="1" x14ac:dyDescent="0.25">
      <c r="A72" s="35"/>
      <c r="B72" s="36"/>
      <c r="C72" s="37"/>
    </row>
    <row r="73" spans="1:5" s="5" customFormat="1" x14ac:dyDescent="0.25">
      <c r="A73" s="15" t="s">
        <v>565</v>
      </c>
      <c r="B73" s="6" t="s">
        <v>566</v>
      </c>
      <c r="C73" s="11"/>
    </row>
    <row r="74" spans="1:5" s="174" customFormat="1" x14ac:dyDescent="0.25">
      <c r="A74" s="171" t="s">
        <v>567</v>
      </c>
      <c r="B74" s="172" t="s">
        <v>547</v>
      </c>
      <c r="C74" s="173">
        <v>24.71</v>
      </c>
      <c r="D74" s="174" t="s">
        <v>151</v>
      </c>
      <c r="E74" s="174" t="s">
        <v>548</v>
      </c>
    </row>
    <row r="75" spans="1:5" s="174" customFormat="1" x14ac:dyDescent="0.25">
      <c r="A75" s="171" t="s">
        <v>543</v>
      </c>
      <c r="B75" s="172" t="s">
        <v>555</v>
      </c>
      <c r="C75" s="173">
        <f>27+18+9</f>
        <v>54</v>
      </c>
      <c r="D75" s="174" t="s">
        <v>562</v>
      </c>
      <c r="E75" s="174" t="s">
        <v>569</v>
      </c>
    </row>
    <row r="76" spans="1:5" s="174" customFormat="1" x14ac:dyDescent="0.25">
      <c r="A76" s="171" t="s">
        <v>568</v>
      </c>
      <c r="B76" s="172" t="s">
        <v>556</v>
      </c>
      <c r="C76" s="173">
        <f>17</f>
        <v>17</v>
      </c>
      <c r="D76" s="174" t="s">
        <v>562</v>
      </c>
      <c r="E76" s="174" t="s">
        <v>571</v>
      </c>
    </row>
    <row r="77" spans="1:5" s="174" customFormat="1" x14ac:dyDescent="0.25">
      <c r="A77" s="171" t="s">
        <v>570</v>
      </c>
      <c r="B77" s="172" t="s">
        <v>546</v>
      </c>
      <c r="C77" s="173">
        <v>2.62</v>
      </c>
      <c r="D77" s="174" t="s">
        <v>521</v>
      </c>
      <c r="E77" s="174" t="s">
        <v>548</v>
      </c>
    </row>
    <row r="78" spans="1:5" s="38" customFormat="1" x14ac:dyDescent="0.25">
      <c r="A78" s="35"/>
      <c r="B78" s="36"/>
      <c r="C78" s="37"/>
    </row>
    <row r="79" spans="1:5" s="5" customFormat="1" x14ac:dyDescent="0.25">
      <c r="A79" s="15" t="s">
        <v>464</v>
      </c>
      <c r="B79" s="6" t="s">
        <v>465</v>
      </c>
      <c r="C79" s="11"/>
    </row>
    <row r="80" spans="1:5" s="174" customFormat="1" x14ac:dyDescent="0.25">
      <c r="A80" s="171" t="s">
        <v>466</v>
      </c>
      <c r="B80" s="172" t="s">
        <v>470</v>
      </c>
      <c r="C80" s="173">
        <f>Quantitativos!J158</f>
        <v>90.46</v>
      </c>
      <c r="D80" s="174" t="s">
        <v>151</v>
      </c>
      <c r="E80" s="174" t="s">
        <v>152</v>
      </c>
    </row>
    <row r="81" spans="1:5" s="174" customFormat="1" x14ac:dyDescent="0.25">
      <c r="A81" s="171" t="s">
        <v>467</v>
      </c>
      <c r="B81" s="172" t="s">
        <v>471</v>
      </c>
      <c r="C81" s="173">
        <f>Quantitativos!J182</f>
        <v>59.32</v>
      </c>
      <c r="D81" s="174" t="s">
        <v>151</v>
      </c>
      <c r="E81" s="174" t="s">
        <v>152</v>
      </c>
    </row>
    <row r="82" spans="1:5" s="174" customFormat="1" x14ac:dyDescent="0.25">
      <c r="A82" s="171" t="s">
        <v>468</v>
      </c>
      <c r="B82" s="172" t="s">
        <v>472</v>
      </c>
      <c r="C82" s="173">
        <f>Quantitativos!K225</f>
        <v>4.16</v>
      </c>
      <c r="D82" s="174" t="s">
        <v>521</v>
      </c>
      <c r="E82" s="174" t="s">
        <v>152</v>
      </c>
    </row>
    <row r="83" spans="1:5" s="174" customFormat="1" x14ac:dyDescent="0.25">
      <c r="A83" s="171" t="s">
        <v>469</v>
      </c>
      <c r="B83" s="172" t="s">
        <v>473</v>
      </c>
      <c r="C83" s="173">
        <f>Quantitativos!I249</f>
        <v>89.34</v>
      </c>
      <c r="D83" s="174" t="s">
        <v>160</v>
      </c>
      <c r="E83" s="174" t="s">
        <v>152</v>
      </c>
    </row>
    <row r="84" spans="1:5" s="38" customFormat="1" x14ac:dyDescent="0.25">
      <c r="A84" s="35"/>
      <c r="B84" s="36"/>
      <c r="C84" s="37"/>
    </row>
    <row r="85" spans="1:5" s="178" customFormat="1" x14ac:dyDescent="0.25">
      <c r="A85" s="175" t="s">
        <v>573</v>
      </c>
      <c r="B85" s="176" t="s">
        <v>572</v>
      </c>
      <c r="C85" s="177"/>
    </row>
    <row r="86" spans="1:5" s="38" customFormat="1" x14ac:dyDescent="0.25">
      <c r="A86" s="35"/>
      <c r="B86" s="36"/>
      <c r="C86" s="37"/>
    </row>
    <row r="87" spans="1:5" s="1" customFormat="1" x14ac:dyDescent="0.25">
      <c r="A87" s="13" t="s">
        <v>10</v>
      </c>
      <c r="B87" s="2" t="s">
        <v>12</v>
      </c>
      <c r="C87" s="9"/>
    </row>
    <row r="89" spans="1:5" s="3" customFormat="1" x14ac:dyDescent="0.25">
      <c r="A89" s="14" t="s">
        <v>13</v>
      </c>
      <c r="B89" s="4" t="s">
        <v>11</v>
      </c>
      <c r="C89" s="10"/>
    </row>
    <row r="91" spans="1:5" s="5" customFormat="1" x14ac:dyDescent="0.25">
      <c r="A91" s="15" t="s">
        <v>14</v>
      </c>
      <c r="B91" s="6" t="s">
        <v>15</v>
      </c>
      <c r="C91" s="11"/>
    </row>
    <row r="92" spans="1:5" s="160" customFormat="1" ht="45" x14ac:dyDescent="0.25">
      <c r="A92" s="157" t="s">
        <v>55</v>
      </c>
      <c r="B92" s="158" t="s">
        <v>476</v>
      </c>
      <c r="C92" s="159">
        <f>Quantitativos!J345</f>
        <v>58.1</v>
      </c>
      <c r="D92" s="160" t="s">
        <v>151</v>
      </c>
      <c r="E92" s="160" t="s">
        <v>152</v>
      </c>
    </row>
    <row r="93" spans="1:5" s="160" customFormat="1" x14ac:dyDescent="0.25">
      <c r="A93" s="157" t="s">
        <v>896</v>
      </c>
      <c r="B93" s="158" t="s">
        <v>153</v>
      </c>
      <c r="C93" s="159">
        <f>Quantitativos!J357</f>
        <v>1287.31</v>
      </c>
      <c r="D93" s="160" t="s">
        <v>151</v>
      </c>
      <c r="E93" s="160" t="s">
        <v>152</v>
      </c>
    </row>
    <row r="94" spans="1:5" s="160" customFormat="1" x14ac:dyDescent="0.25">
      <c r="A94" s="157" t="s">
        <v>56</v>
      </c>
      <c r="B94" s="158" t="s">
        <v>154</v>
      </c>
      <c r="C94" s="159">
        <f>Quantitativos!J369</f>
        <v>347.34</v>
      </c>
      <c r="D94" s="160" t="s">
        <v>151</v>
      </c>
      <c r="E94" s="160" t="s">
        <v>152</v>
      </c>
    </row>
    <row r="95" spans="1:5" s="160" customFormat="1" x14ac:dyDescent="0.25">
      <c r="A95" s="157" t="s">
        <v>67</v>
      </c>
      <c r="B95" s="158" t="s">
        <v>68</v>
      </c>
      <c r="C95" s="159">
        <f>Quantitativos!J378</f>
        <v>97.52</v>
      </c>
      <c r="D95" s="160" t="s">
        <v>151</v>
      </c>
      <c r="E95" s="160" t="s">
        <v>152</v>
      </c>
    </row>
    <row r="96" spans="1:5" s="160" customFormat="1" x14ac:dyDescent="0.25">
      <c r="A96" s="157" t="s">
        <v>69</v>
      </c>
      <c r="B96" s="158" t="s">
        <v>70</v>
      </c>
      <c r="C96" s="159">
        <f>Quantitativos!J392</f>
        <v>13.94</v>
      </c>
      <c r="D96" s="160" t="s">
        <v>151</v>
      </c>
      <c r="E96" s="160" t="s">
        <v>152</v>
      </c>
    </row>
    <row r="97" spans="1:5" s="160" customFormat="1" x14ac:dyDescent="0.25">
      <c r="A97" s="157" t="s">
        <v>16</v>
      </c>
      <c r="B97" s="158" t="s">
        <v>165</v>
      </c>
      <c r="C97" s="159">
        <f>Quantitativos!J401</f>
        <v>222.22</v>
      </c>
      <c r="D97" s="160" t="s">
        <v>151</v>
      </c>
      <c r="E97" s="160" t="s">
        <v>152</v>
      </c>
    </row>
    <row r="98" spans="1:5" s="160" customFormat="1" x14ac:dyDescent="0.25">
      <c r="A98" s="157" t="s">
        <v>17</v>
      </c>
      <c r="B98" s="158" t="s">
        <v>166</v>
      </c>
      <c r="C98" s="159">
        <f>Quantitativos!J411</f>
        <v>28.56</v>
      </c>
      <c r="D98" s="160" t="s">
        <v>151</v>
      </c>
      <c r="E98" s="160" t="s">
        <v>152</v>
      </c>
    </row>
    <row r="99" spans="1:5" s="160" customFormat="1" x14ac:dyDescent="0.25">
      <c r="A99" s="157" t="s">
        <v>167</v>
      </c>
      <c r="B99" s="158" t="s">
        <v>72</v>
      </c>
      <c r="C99" s="159">
        <f>C97+C98</f>
        <v>250.78</v>
      </c>
      <c r="D99" s="160" t="s">
        <v>151</v>
      </c>
      <c r="E99" s="160" t="s">
        <v>156</v>
      </c>
    </row>
    <row r="100" spans="1:5" x14ac:dyDescent="0.25">
      <c r="A100" s="31"/>
    </row>
    <row r="101" spans="1:5" s="5" customFormat="1" x14ac:dyDescent="0.25">
      <c r="A101" s="15" t="s">
        <v>61</v>
      </c>
      <c r="B101" s="6" t="s">
        <v>62</v>
      </c>
      <c r="C101" s="11"/>
    </row>
    <row r="102" spans="1:5" s="160" customFormat="1" x14ac:dyDescent="0.25">
      <c r="A102" s="157" t="s">
        <v>65</v>
      </c>
      <c r="B102" s="158" t="s">
        <v>64</v>
      </c>
      <c r="C102" s="159">
        <f>Quantitativos!I431</f>
        <v>223.06000000000006</v>
      </c>
      <c r="D102" s="160" t="s">
        <v>160</v>
      </c>
      <c r="E102" s="160" t="s">
        <v>152</v>
      </c>
    </row>
    <row r="103" spans="1:5" s="160" customFormat="1" x14ac:dyDescent="0.25">
      <c r="A103" s="157" t="s">
        <v>66</v>
      </c>
      <c r="B103" s="158" t="s">
        <v>58</v>
      </c>
      <c r="C103" s="159">
        <f>Quantitativos!I419</f>
        <v>137.75</v>
      </c>
      <c r="D103" s="160" t="s">
        <v>160</v>
      </c>
      <c r="E103" s="160" t="s">
        <v>152</v>
      </c>
    </row>
    <row r="104" spans="1:5" s="5" customFormat="1" x14ac:dyDescent="0.25">
      <c r="A104" s="15" t="s">
        <v>63</v>
      </c>
      <c r="B104" s="6" t="s">
        <v>57</v>
      </c>
      <c r="C104" s="11"/>
    </row>
    <row r="105" spans="1:5" s="160" customFormat="1" x14ac:dyDescent="0.25">
      <c r="A105" s="157" t="s">
        <v>59</v>
      </c>
      <c r="B105" s="158" t="s">
        <v>60</v>
      </c>
      <c r="C105" s="159">
        <f>Quantitativos!I441</f>
        <v>401.65</v>
      </c>
      <c r="D105" s="160" t="s">
        <v>160</v>
      </c>
      <c r="E105" s="160" t="s">
        <v>152</v>
      </c>
    </row>
    <row r="107" spans="1:5" s="5" customFormat="1" x14ac:dyDescent="0.25">
      <c r="A107" s="15" t="s">
        <v>37</v>
      </c>
      <c r="B107" s="6" t="s">
        <v>38</v>
      </c>
      <c r="C107" s="11"/>
    </row>
    <row r="108" spans="1:5" s="174" customFormat="1" x14ac:dyDescent="0.25">
      <c r="A108" s="171"/>
      <c r="B108" s="172" t="s">
        <v>109</v>
      </c>
      <c r="C108" s="173">
        <v>1</v>
      </c>
      <c r="D108" s="174" t="s">
        <v>168</v>
      </c>
      <c r="E108" s="174" t="s">
        <v>169</v>
      </c>
    </row>
    <row r="109" spans="1:5" s="174" customFormat="1" x14ac:dyDescent="0.25">
      <c r="A109" s="171"/>
      <c r="B109" s="172" t="s">
        <v>110</v>
      </c>
      <c r="C109" s="173">
        <v>1</v>
      </c>
      <c r="D109" s="174" t="s">
        <v>168</v>
      </c>
      <c r="E109" s="174" t="s">
        <v>169</v>
      </c>
    </row>
    <row r="110" spans="1:5" s="174" customFormat="1" x14ac:dyDescent="0.25">
      <c r="A110" s="171"/>
      <c r="B110" s="172" t="s">
        <v>114</v>
      </c>
      <c r="C110" s="173">
        <v>4</v>
      </c>
      <c r="D110" s="174" t="s">
        <v>168</v>
      </c>
      <c r="E110" s="174" t="s">
        <v>169</v>
      </c>
    </row>
    <row r="111" spans="1:5" s="174" customFormat="1" x14ac:dyDescent="0.25">
      <c r="A111" s="171"/>
      <c r="B111" s="172" t="s">
        <v>121</v>
      </c>
      <c r="C111" s="173">
        <v>3</v>
      </c>
      <c r="D111" s="174" t="s">
        <v>168</v>
      </c>
      <c r="E111" s="174" t="s">
        <v>169</v>
      </c>
    </row>
    <row r="112" spans="1:5" s="174" customFormat="1" x14ac:dyDescent="0.25">
      <c r="A112" s="171"/>
      <c r="B112" s="172" t="s">
        <v>115</v>
      </c>
      <c r="C112" s="173">
        <v>1</v>
      </c>
      <c r="D112" s="174" t="s">
        <v>168</v>
      </c>
      <c r="E112" s="174" t="s">
        <v>169</v>
      </c>
    </row>
    <row r="113" spans="1:5" s="174" customFormat="1" x14ac:dyDescent="0.25">
      <c r="A113" s="171"/>
      <c r="B113" s="172" t="s">
        <v>113</v>
      </c>
      <c r="C113" s="173">
        <v>2</v>
      </c>
      <c r="D113" s="174" t="s">
        <v>168</v>
      </c>
      <c r="E113" s="174" t="s">
        <v>169</v>
      </c>
    </row>
    <row r="114" spans="1:5" s="174" customFormat="1" x14ac:dyDescent="0.25">
      <c r="A114" s="171"/>
      <c r="B114" s="172" t="s">
        <v>106</v>
      </c>
      <c r="C114" s="173">
        <v>1</v>
      </c>
      <c r="D114" s="174" t="s">
        <v>168</v>
      </c>
      <c r="E114" s="174" t="s">
        <v>170</v>
      </c>
    </row>
    <row r="115" spans="1:5" s="174" customFormat="1" x14ac:dyDescent="0.25">
      <c r="A115" s="171"/>
      <c r="B115" s="172" t="s">
        <v>145</v>
      </c>
      <c r="C115" s="173">
        <v>1</v>
      </c>
      <c r="D115" s="174" t="s">
        <v>168</v>
      </c>
      <c r="E115" s="174" t="s">
        <v>170</v>
      </c>
    </row>
    <row r="116" spans="1:5" s="174" customFormat="1" x14ac:dyDescent="0.25">
      <c r="A116" s="171"/>
      <c r="B116" s="172" t="s">
        <v>171</v>
      </c>
      <c r="C116" s="173">
        <v>1</v>
      </c>
      <c r="D116" s="174" t="s">
        <v>168</v>
      </c>
      <c r="E116" s="174" t="s">
        <v>170</v>
      </c>
    </row>
    <row r="117" spans="1:5" s="174" customFormat="1" x14ac:dyDescent="0.25">
      <c r="A117" s="171"/>
      <c r="B117" s="172" t="s">
        <v>105</v>
      </c>
      <c r="C117" s="173">
        <v>1</v>
      </c>
      <c r="D117" s="174" t="s">
        <v>168</v>
      </c>
      <c r="E117" s="174" t="s">
        <v>170</v>
      </c>
    </row>
    <row r="118" spans="1:5" s="174" customFormat="1" x14ac:dyDescent="0.25">
      <c r="A118" s="171"/>
      <c r="B118" s="172" t="s">
        <v>107</v>
      </c>
      <c r="C118" s="173">
        <v>1</v>
      </c>
      <c r="D118" s="174" t="s">
        <v>168</v>
      </c>
      <c r="E118" s="174" t="s">
        <v>170</v>
      </c>
    </row>
    <row r="119" spans="1:5" s="174" customFormat="1" x14ac:dyDescent="0.25">
      <c r="A119" s="171"/>
      <c r="B119" s="172" t="s">
        <v>108</v>
      </c>
      <c r="C119" s="173">
        <v>1</v>
      </c>
      <c r="D119" s="174" t="s">
        <v>168</v>
      </c>
      <c r="E119" s="174" t="s">
        <v>170</v>
      </c>
    </row>
    <row r="120" spans="1:5" s="174" customFormat="1" x14ac:dyDescent="0.25">
      <c r="A120" s="171"/>
      <c r="B120" s="172" t="s">
        <v>146</v>
      </c>
      <c r="C120" s="173">
        <v>1</v>
      </c>
      <c r="D120" s="174" t="s">
        <v>168</v>
      </c>
      <c r="E120" s="174" t="s">
        <v>170</v>
      </c>
    </row>
    <row r="121" spans="1:5" s="174" customFormat="1" x14ac:dyDescent="0.25">
      <c r="A121" s="171"/>
      <c r="B121" s="172" t="s">
        <v>172</v>
      </c>
      <c r="C121" s="173">
        <v>1</v>
      </c>
      <c r="D121" s="174" t="s">
        <v>168</v>
      </c>
      <c r="E121" s="174" t="s">
        <v>170</v>
      </c>
    </row>
    <row r="122" spans="1:5" s="174" customFormat="1" x14ac:dyDescent="0.25">
      <c r="A122" s="171"/>
      <c r="B122" s="172" t="s">
        <v>147</v>
      </c>
      <c r="C122" s="173">
        <v>1</v>
      </c>
      <c r="D122" s="174" t="s">
        <v>168</v>
      </c>
      <c r="E122" s="174" t="s">
        <v>170</v>
      </c>
    </row>
    <row r="123" spans="1:5" s="174" customFormat="1" x14ac:dyDescent="0.25">
      <c r="A123" s="171"/>
      <c r="B123" s="172" t="s">
        <v>148</v>
      </c>
      <c r="C123" s="173">
        <v>1</v>
      </c>
      <c r="D123" s="174" t="s">
        <v>168</v>
      </c>
      <c r="E123" s="174" t="s">
        <v>170</v>
      </c>
    </row>
    <row r="124" spans="1:5" s="174" customFormat="1" x14ac:dyDescent="0.25">
      <c r="A124" s="171"/>
      <c r="B124" s="172" t="s">
        <v>149</v>
      </c>
      <c r="C124" s="173">
        <v>1</v>
      </c>
      <c r="D124" s="174" t="s">
        <v>168</v>
      </c>
      <c r="E124" s="174" t="s">
        <v>170</v>
      </c>
    </row>
    <row r="125" spans="1:5" s="174" customFormat="1" x14ac:dyDescent="0.25">
      <c r="A125" s="171"/>
      <c r="B125" s="172" t="s">
        <v>150</v>
      </c>
      <c r="C125" s="173">
        <v>1</v>
      </c>
      <c r="D125" s="174" t="s">
        <v>168</v>
      </c>
      <c r="E125" s="174" t="s">
        <v>170</v>
      </c>
    </row>
    <row r="126" spans="1:5" s="174" customFormat="1" x14ac:dyDescent="0.25">
      <c r="A126" s="171"/>
      <c r="B126" s="172" t="s">
        <v>140</v>
      </c>
      <c r="C126" s="173">
        <v>2</v>
      </c>
      <c r="D126" s="174" t="s">
        <v>168</v>
      </c>
      <c r="E126" s="174" t="s">
        <v>170</v>
      </c>
    </row>
    <row r="127" spans="1:5" s="174" customFormat="1" x14ac:dyDescent="0.25">
      <c r="A127" s="171"/>
      <c r="B127" s="172" t="s">
        <v>116</v>
      </c>
      <c r="C127" s="173">
        <v>10</v>
      </c>
      <c r="D127" s="174" t="s">
        <v>168</v>
      </c>
      <c r="E127" s="174" t="s">
        <v>162</v>
      </c>
    </row>
    <row r="128" spans="1:5" s="174" customFormat="1" x14ac:dyDescent="0.25">
      <c r="A128" s="171"/>
      <c r="B128" s="172" t="s">
        <v>117</v>
      </c>
      <c r="C128" s="173">
        <v>3</v>
      </c>
      <c r="D128" s="174" t="s">
        <v>168</v>
      </c>
      <c r="E128" s="174" t="s">
        <v>162</v>
      </c>
    </row>
    <row r="129" spans="1:5" s="174" customFormat="1" x14ac:dyDescent="0.25">
      <c r="A129" s="171"/>
      <c r="B129" s="172" t="s">
        <v>118</v>
      </c>
      <c r="C129" s="173">
        <v>17</v>
      </c>
      <c r="D129" s="174" t="s">
        <v>168</v>
      </c>
      <c r="E129" s="174" t="s">
        <v>162</v>
      </c>
    </row>
    <row r="130" spans="1:5" s="174" customFormat="1" x14ac:dyDescent="0.25">
      <c r="A130" s="171"/>
      <c r="B130" s="172" t="s">
        <v>173</v>
      </c>
      <c r="C130" s="173">
        <v>2</v>
      </c>
      <c r="D130" s="174" t="s">
        <v>168</v>
      </c>
      <c r="E130" s="174" t="s">
        <v>162</v>
      </c>
    </row>
    <row r="131" spans="1:5" s="174" customFormat="1" x14ac:dyDescent="0.25">
      <c r="A131" s="171"/>
      <c r="B131" s="172" t="s">
        <v>119</v>
      </c>
      <c r="C131" s="173">
        <v>1</v>
      </c>
      <c r="D131" s="174" t="s">
        <v>168</v>
      </c>
      <c r="E131" s="174" t="s">
        <v>162</v>
      </c>
    </row>
    <row r="132" spans="1:5" s="174" customFormat="1" x14ac:dyDescent="0.25">
      <c r="A132" s="171"/>
      <c r="B132" s="172" t="s">
        <v>120</v>
      </c>
      <c r="C132" s="173">
        <v>2</v>
      </c>
      <c r="D132" s="174" t="s">
        <v>168</v>
      </c>
      <c r="E132" s="174" t="s">
        <v>163</v>
      </c>
    </row>
    <row r="134" spans="1:5" s="5" customFormat="1" x14ac:dyDescent="0.25">
      <c r="A134" s="15" t="s">
        <v>174</v>
      </c>
      <c r="B134" s="6" t="s">
        <v>175</v>
      </c>
      <c r="C134" s="11"/>
    </row>
    <row r="135" spans="1:5" s="174" customFormat="1" x14ac:dyDescent="0.25">
      <c r="A135" s="171" t="s">
        <v>176</v>
      </c>
      <c r="B135" s="172" t="s">
        <v>177</v>
      </c>
      <c r="C135" s="173">
        <f>Quantitativos!J460</f>
        <v>199.2</v>
      </c>
      <c r="D135" s="174" t="s">
        <v>151</v>
      </c>
      <c r="E135" s="160" t="s">
        <v>152</v>
      </c>
    </row>
    <row r="136" spans="1:5" s="174" customFormat="1" x14ac:dyDescent="0.25">
      <c r="A136" s="171"/>
      <c r="B136" s="172" t="s">
        <v>875</v>
      </c>
      <c r="C136" s="173">
        <f>2*2*2*0.4*0.8</f>
        <v>2.5600000000000005</v>
      </c>
      <c r="D136" s="174" t="s">
        <v>151</v>
      </c>
      <c r="E136" s="160" t="s">
        <v>874</v>
      </c>
    </row>
    <row r="137" spans="1:5" s="174" customFormat="1" x14ac:dyDescent="0.25">
      <c r="A137" s="171"/>
      <c r="B137" s="172" t="s">
        <v>876</v>
      </c>
      <c r="C137" s="173">
        <v>2</v>
      </c>
      <c r="D137" s="174" t="s">
        <v>759</v>
      </c>
      <c r="E137" s="160" t="s">
        <v>877</v>
      </c>
    </row>
    <row r="138" spans="1:5" s="42" customFormat="1" x14ac:dyDescent="0.25">
      <c r="A138" s="39"/>
      <c r="B138" s="40"/>
      <c r="C138" s="41"/>
    </row>
    <row r="139" spans="1:5" s="5" customFormat="1" x14ac:dyDescent="0.25">
      <c r="A139" s="15" t="s">
        <v>186</v>
      </c>
      <c r="B139" s="6" t="s">
        <v>187</v>
      </c>
      <c r="C139" s="11"/>
    </row>
    <row r="140" spans="1:5" s="174" customFormat="1" x14ac:dyDescent="0.25">
      <c r="A140" s="171" t="s">
        <v>197</v>
      </c>
      <c r="B140" s="172" t="s">
        <v>188</v>
      </c>
      <c r="C140" s="173">
        <f>Quantitativos!J470</f>
        <v>22.33</v>
      </c>
      <c r="D140" s="174" t="s">
        <v>151</v>
      </c>
      <c r="E140" s="160" t="s">
        <v>152</v>
      </c>
    </row>
    <row r="141" spans="1:5" s="174" customFormat="1" x14ac:dyDescent="0.25">
      <c r="A141" s="171" t="s">
        <v>198</v>
      </c>
      <c r="B141" s="172" t="s">
        <v>199</v>
      </c>
      <c r="C141" s="173">
        <v>655.54</v>
      </c>
      <c r="D141" s="174" t="s">
        <v>151</v>
      </c>
      <c r="E141" s="160" t="s">
        <v>897</v>
      </c>
    </row>
    <row r="142" spans="1:5" s="42" customFormat="1" x14ac:dyDescent="0.25">
      <c r="A142" s="39"/>
      <c r="B142" s="40"/>
      <c r="C142" s="41"/>
    </row>
    <row r="143" spans="1:5" s="5" customFormat="1" x14ac:dyDescent="0.25">
      <c r="A143" s="15" t="s">
        <v>189</v>
      </c>
      <c r="B143" s="6" t="s">
        <v>190</v>
      </c>
      <c r="C143" s="11"/>
    </row>
    <row r="144" spans="1:5" s="174" customFormat="1" x14ac:dyDescent="0.25">
      <c r="A144" s="171" t="s">
        <v>191</v>
      </c>
      <c r="B144" s="172" t="s">
        <v>193</v>
      </c>
      <c r="C144" s="173">
        <v>43.82</v>
      </c>
      <c r="D144" s="174" t="s">
        <v>160</v>
      </c>
      <c r="E144" s="174" t="s">
        <v>194</v>
      </c>
    </row>
    <row r="145" spans="1:6" s="174" customFormat="1" x14ac:dyDescent="0.25">
      <c r="A145" s="171" t="s">
        <v>192</v>
      </c>
      <c r="B145" s="172" t="s">
        <v>196</v>
      </c>
      <c r="C145" s="173">
        <v>43.82</v>
      </c>
      <c r="D145" s="174" t="s">
        <v>160</v>
      </c>
      <c r="E145" s="174" t="s">
        <v>195</v>
      </c>
    </row>
    <row r="146" spans="1:6" s="42" customFormat="1" x14ac:dyDescent="0.25">
      <c r="A146" s="39"/>
      <c r="B146" s="40"/>
      <c r="C146" s="41"/>
    </row>
    <row r="147" spans="1:6" s="5" customFormat="1" x14ac:dyDescent="0.25">
      <c r="A147" s="15" t="s">
        <v>204</v>
      </c>
      <c r="B147" s="6" t="s">
        <v>205</v>
      </c>
      <c r="C147" s="11"/>
    </row>
    <row r="148" spans="1:6" s="160" customFormat="1" x14ac:dyDescent="0.25">
      <c r="A148" s="157" t="s">
        <v>835</v>
      </c>
      <c r="B148" s="158" t="s">
        <v>830</v>
      </c>
      <c r="C148" s="159">
        <f>Quantitativos!J479</f>
        <v>75.78</v>
      </c>
      <c r="D148" s="160" t="s">
        <v>151</v>
      </c>
      <c r="E148" s="160" t="s">
        <v>152</v>
      </c>
    </row>
    <row r="149" spans="1:6" s="160" customFormat="1" x14ac:dyDescent="0.25">
      <c r="A149" s="157" t="s">
        <v>836</v>
      </c>
      <c r="B149" s="158" t="s">
        <v>834</v>
      </c>
      <c r="C149" s="159">
        <f>Quantitativos!J488</f>
        <v>1.95</v>
      </c>
      <c r="D149" s="160" t="s">
        <v>151</v>
      </c>
      <c r="E149" s="160" t="s">
        <v>152</v>
      </c>
    </row>
    <row r="150" spans="1:6" s="160" customFormat="1" x14ac:dyDescent="0.25">
      <c r="A150" s="157" t="s">
        <v>840</v>
      </c>
      <c r="B150" s="158" t="s">
        <v>841</v>
      </c>
      <c r="C150" s="159">
        <f>0.25*0.25*104</f>
        <v>6.5</v>
      </c>
      <c r="D150" s="160" t="s">
        <v>151</v>
      </c>
      <c r="E150" s="160" t="s">
        <v>842</v>
      </c>
    </row>
    <row r="151" spans="1:6" s="34" customFormat="1" x14ac:dyDescent="0.25">
      <c r="A151" s="31"/>
      <c r="B151" s="32"/>
      <c r="C151" s="33"/>
    </row>
    <row r="152" spans="1:6" s="5" customFormat="1" x14ac:dyDescent="0.25">
      <c r="A152" s="15" t="s">
        <v>237</v>
      </c>
      <c r="B152" s="6" t="s">
        <v>238</v>
      </c>
      <c r="C152" s="11"/>
    </row>
    <row r="153" spans="1:6" s="160" customFormat="1" x14ac:dyDescent="0.25">
      <c r="A153" s="157" t="s">
        <v>239</v>
      </c>
      <c r="B153" s="158" t="s">
        <v>240</v>
      </c>
      <c r="C153" s="159">
        <f>'Det. Rev. Parede'!I4+Quantitativos!J495</f>
        <v>2988.3746999999998</v>
      </c>
      <c r="D153" s="160" t="s">
        <v>151</v>
      </c>
      <c r="E153" s="160" t="s">
        <v>309</v>
      </c>
      <c r="F153" s="160">
        <f>'Det. Rev. Parede'!G4</f>
        <v>87879</v>
      </c>
    </row>
    <row r="154" spans="1:6" s="160" customFormat="1" x14ac:dyDescent="0.25">
      <c r="A154" s="157" t="s">
        <v>243</v>
      </c>
      <c r="B154" s="158" t="s">
        <v>241</v>
      </c>
      <c r="C154" s="159">
        <f>'Det. Rev. Parede'!I3</f>
        <v>509.17699999999996</v>
      </c>
      <c r="D154" s="160" t="s">
        <v>151</v>
      </c>
      <c r="E154" s="160" t="s">
        <v>242</v>
      </c>
      <c r="F154" s="179">
        <f>'Det. Rev. Parede'!G5</f>
        <v>87531</v>
      </c>
    </row>
    <row r="155" spans="1:6" s="160" customFormat="1" x14ac:dyDescent="0.25">
      <c r="A155" s="157" t="s">
        <v>244</v>
      </c>
      <c r="B155" s="158" t="s">
        <v>246</v>
      </c>
      <c r="C155" s="159">
        <f>'Det. Rev. Parede'!I8</f>
        <v>509.17699999999996</v>
      </c>
      <c r="D155" s="160" t="s">
        <v>151</v>
      </c>
      <c r="E155" s="160" t="s">
        <v>242</v>
      </c>
      <c r="F155" s="179">
        <f>'Det. Rev. Parede'!G3</f>
        <v>87905</v>
      </c>
    </row>
    <row r="156" spans="1:6" s="160" customFormat="1" x14ac:dyDescent="0.25">
      <c r="A156" s="157" t="s">
        <v>245</v>
      </c>
      <c r="B156" s="158" t="s">
        <v>247</v>
      </c>
      <c r="C156" s="159">
        <f>'Det. Rev. Parede'!I9+Quantitativos!J495+Quantitativos!J543</f>
        <v>2690.8807000000002</v>
      </c>
      <c r="D156" s="160" t="s">
        <v>151</v>
      </c>
      <c r="E156" s="160" t="s">
        <v>310</v>
      </c>
      <c r="F156" s="179">
        <f>'Det. Rev. Parede'!G10</f>
        <v>88489</v>
      </c>
    </row>
    <row r="157" spans="1:6" s="174" customFormat="1" x14ac:dyDescent="0.25">
      <c r="A157" s="157" t="s">
        <v>248</v>
      </c>
      <c r="B157" s="172" t="s">
        <v>249</v>
      </c>
      <c r="C157" s="173">
        <f>'Det. Rev. Parede'!I5+Quantitativos!J509</f>
        <v>237.22039999999998</v>
      </c>
      <c r="D157" s="160" t="s">
        <v>151</v>
      </c>
      <c r="E157" s="160" t="s">
        <v>242</v>
      </c>
      <c r="F157" s="180">
        <f>'Det. Rev. Parede'!G5</f>
        <v>87531</v>
      </c>
    </row>
    <row r="158" spans="1:6" s="174" customFormat="1" x14ac:dyDescent="0.25">
      <c r="A158" s="171" t="s">
        <v>250</v>
      </c>
      <c r="B158" s="172" t="s">
        <v>251</v>
      </c>
      <c r="C158" s="173">
        <f>Quantitativos!J509</f>
        <v>120.41</v>
      </c>
      <c r="D158" s="160" t="s">
        <v>151</v>
      </c>
      <c r="E158" s="160" t="s">
        <v>152</v>
      </c>
      <c r="F158" s="180">
        <v>87267</v>
      </c>
    </row>
    <row r="159" spans="1:6" s="174" customFormat="1" x14ac:dyDescent="0.25">
      <c r="A159" s="171" t="s">
        <v>252</v>
      </c>
      <c r="B159" s="172" t="s">
        <v>253</v>
      </c>
      <c r="C159" s="173">
        <f>'Det. Rev. Parede'!I1</f>
        <v>94.743599999999986</v>
      </c>
      <c r="D159" s="160" t="s">
        <v>151</v>
      </c>
      <c r="E159" s="160" t="s">
        <v>242</v>
      </c>
      <c r="F159" s="180">
        <f>'Det. Rev. Parede'!G12</f>
        <v>88485</v>
      </c>
    </row>
    <row r="160" spans="1:6" s="38" customFormat="1" x14ac:dyDescent="0.25">
      <c r="A160" s="35"/>
      <c r="B160" s="36"/>
      <c r="C160" s="37"/>
    </row>
    <row r="161" spans="1:6" s="5" customFormat="1" x14ac:dyDescent="0.25">
      <c r="A161" s="15" t="s">
        <v>40</v>
      </c>
      <c r="B161" s="6" t="s">
        <v>39</v>
      </c>
      <c r="C161" s="11"/>
    </row>
    <row r="162" spans="1:6" s="160" customFormat="1" x14ac:dyDescent="0.25">
      <c r="A162" s="157" t="s">
        <v>266</v>
      </c>
      <c r="B162" s="158" t="s">
        <v>267</v>
      </c>
      <c r="C162" s="159">
        <f>Quantitativos!J517</f>
        <v>37.36</v>
      </c>
      <c r="D162" s="160" t="s">
        <v>151</v>
      </c>
      <c r="E162" s="160" t="s">
        <v>152</v>
      </c>
    </row>
    <row r="163" spans="1:6" s="160" customFormat="1" x14ac:dyDescent="0.25">
      <c r="A163" s="157" t="s">
        <v>265</v>
      </c>
      <c r="B163" s="158" t="s">
        <v>264</v>
      </c>
      <c r="C163" s="159">
        <f>Quantitativos!J527</f>
        <v>1045.06</v>
      </c>
      <c r="D163" s="160" t="s">
        <v>151</v>
      </c>
      <c r="E163" s="160" t="s">
        <v>152</v>
      </c>
    </row>
    <row r="164" spans="1:6" s="34" customFormat="1" x14ac:dyDescent="0.25">
      <c r="A164" s="31"/>
      <c r="B164" s="32"/>
      <c r="C164" s="33"/>
    </row>
    <row r="165" spans="1:6" s="5" customFormat="1" x14ac:dyDescent="0.25">
      <c r="A165" s="15" t="s">
        <v>41</v>
      </c>
      <c r="B165" s="6" t="s">
        <v>42</v>
      </c>
      <c r="C165" s="11"/>
    </row>
    <row r="166" spans="1:6" s="174" customFormat="1" x14ac:dyDescent="0.25">
      <c r="A166" s="171" t="s">
        <v>272</v>
      </c>
      <c r="B166" s="172" t="s">
        <v>273</v>
      </c>
      <c r="C166" s="173">
        <f>'Det. Rev. Parede'!I6</f>
        <v>406.99799999999999</v>
      </c>
      <c r="D166" s="174" t="s">
        <v>151</v>
      </c>
      <c r="E166" s="160" t="s">
        <v>242</v>
      </c>
      <c r="F166" s="174">
        <v>88495</v>
      </c>
    </row>
    <row r="167" spans="1:6" s="174" customFormat="1" x14ac:dyDescent="0.25">
      <c r="A167" s="171" t="s">
        <v>275</v>
      </c>
      <c r="B167" s="172" t="s">
        <v>274</v>
      </c>
      <c r="C167" s="173">
        <f>'Det. Rev. Parede'!I7+Quantitativos!J543</f>
        <v>2121.2374500000001</v>
      </c>
      <c r="D167" s="174" t="s">
        <v>151</v>
      </c>
      <c r="E167" s="160" t="s">
        <v>287</v>
      </c>
      <c r="F167" s="174">
        <v>88497</v>
      </c>
    </row>
    <row r="168" spans="1:6" s="174" customFormat="1" x14ac:dyDescent="0.25">
      <c r="A168" s="171" t="s">
        <v>276</v>
      </c>
      <c r="B168" s="172" t="s">
        <v>277</v>
      </c>
      <c r="C168" s="173">
        <f>C162</f>
        <v>37.36</v>
      </c>
      <c r="D168" s="174" t="s">
        <v>151</v>
      </c>
      <c r="E168" s="160" t="s">
        <v>283</v>
      </c>
      <c r="F168" s="174">
        <v>88494</v>
      </c>
    </row>
    <row r="169" spans="1:6" s="174" customFormat="1" x14ac:dyDescent="0.25">
      <c r="A169" s="171" t="s">
        <v>279</v>
      </c>
      <c r="B169" s="172" t="s">
        <v>281</v>
      </c>
      <c r="C169" s="173">
        <f>'Det. Rev. Parede'!I12+Quantitativos!J543</f>
        <v>3037.4124500000003</v>
      </c>
      <c r="D169" s="174" t="s">
        <v>151</v>
      </c>
      <c r="E169" s="160" t="s">
        <v>242</v>
      </c>
      <c r="F169" s="174">
        <v>88485</v>
      </c>
    </row>
    <row r="170" spans="1:6" s="174" customFormat="1" x14ac:dyDescent="0.25">
      <c r="A170" s="171" t="s">
        <v>280</v>
      </c>
      <c r="B170" s="172" t="s">
        <v>282</v>
      </c>
      <c r="C170" s="173">
        <f>C168</f>
        <v>37.36</v>
      </c>
      <c r="D170" s="174" t="s">
        <v>151</v>
      </c>
      <c r="E170" s="160" t="s">
        <v>283</v>
      </c>
      <c r="F170" s="174">
        <v>88482</v>
      </c>
    </row>
    <row r="171" spans="1:6" s="174" customFormat="1" x14ac:dyDescent="0.25">
      <c r="A171" s="171" t="s">
        <v>731</v>
      </c>
      <c r="B171" s="172" t="s">
        <v>732</v>
      </c>
      <c r="C171" s="173">
        <f>Quantitativos!J553</f>
        <v>215.41</v>
      </c>
      <c r="D171" s="174" t="s">
        <v>151</v>
      </c>
      <c r="E171" s="160" t="s">
        <v>152</v>
      </c>
    </row>
    <row r="172" spans="1:6" s="174" customFormat="1" x14ac:dyDescent="0.25">
      <c r="A172" s="171" t="s">
        <v>392</v>
      </c>
      <c r="B172" s="172" t="s">
        <v>393</v>
      </c>
      <c r="C172" s="173">
        <f>Quantitativos!J572</f>
        <v>126.14</v>
      </c>
      <c r="D172" s="174" t="s">
        <v>151</v>
      </c>
      <c r="E172" s="160" t="s">
        <v>152</v>
      </c>
    </row>
    <row r="173" spans="1:6" s="174" customFormat="1" x14ac:dyDescent="0.25">
      <c r="A173" s="171" t="s">
        <v>286</v>
      </c>
      <c r="B173" s="172" t="s">
        <v>284</v>
      </c>
      <c r="C173" s="173">
        <f>C170</f>
        <v>37.36</v>
      </c>
      <c r="D173" s="174" t="s">
        <v>151</v>
      </c>
      <c r="E173" s="160" t="s">
        <v>283</v>
      </c>
      <c r="F173" s="174">
        <v>88486</v>
      </c>
    </row>
    <row r="174" spans="1:6" s="174" customFormat="1" x14ac:dyDescent="0.25">
      <c r="A174" s="171" t="s">
        <v>522</v>
      </c>
      <c r="B174" s="172" t="s">
        <v>523</v>
      </c>
      <c r="C174" s="173">
        <f>C80</f>
        <v>90.46</v>
      </c>
      <c r="D174" s="174" t="s">
        <v>151</v>
      </c>
      <c r="E174" s="160" t="s">
        <v>524</v>
      </c>
    </row>
    <row r="175" spans="1:6" s="174" customFormat="1" x14ac:dyDescent="0.25">
      <c r="A175" s="171" t="s">
        <v>290</v>
      </c>
      <c r="B175" s="172" t="s">
        <v>285</v>
      </c>
      <c r="C175" s="173">
        <f>'Det. Rev. Parede'!I10+Quantitativos!J543</f>
        <v>2528.2354500000001</v>
      </c>
      <c r="D175" s="174" t="s">
        <v>151</v>
      </c>
      <c r="E175" s="160" t="s">
        <v>242</v>
      </c>
      <c r="F175" s="174">
        <v>88489</v>
      </c>
    </row>
    <row r="176" spans="1:6" s="174" customFormat="1" x14ac:dyDescent="0.25">
      <c r="A176" s="171" t="s">
        <v>291</v>
      </c>
      <c r="B176" s="172" t="s">
        <v>292</v>
      </c>
      <c r="C176" s="173">
        <f>'Det. Rev. Parede'!I11</f>
        <v>509.17699999999996</v>
      </c>
      <c r="D176" s="174" t="s">
        <v>151</v>
      </c>
      <c r="E176" s="160" t="s">
        <v>242</v>
      </c>
      <c r="F176" s="174" t="s">
        <v>288</v>
      </c>
    </row>
    <row r="177" spans="1:5" s="174" customFormat="1" x14ac:dyDescent="0.25">
      <c r="A177" s="171" t="s">
        <v>878</v>
      </c>
      <c r="B177" s="172" t="s">
        <v>879</v>
      </c>
      <c r="C177" s="173">
        <f>Quantitativos!J584</f>
        <v>2047.66</v>
      </c>
      <c r="D177" s="174" t="s">
        <v>151</v>
      </c>
      <c r="E177" s="160" t="s">
        <v>152</v>
      </c>
    </row>
    <row r="178" spans="1:5" s="42" customFormat="1" x14ac:dyDescent="0.25">
      <c r="A178" s="39"/>
      <c r="B178" s="40"/>
      <c r="C178" s="41"/>
    </row>
    <row r="179" spans="1:5" s="5" customFormat="1" x14ac:dyDescent="0.25">
      <c r="A179" s="15" t="s">
        <v>293</v>
      </c>
      <c r="B179" s="6" t="s">
        <v>294</v>
      </c>
      <c r="C179" s="11"/>
    </row>
    <row r="180" spans="1:5" s="160" customFormat="1" x14ac:dyDescent="0.25">
      <c r="A180" s="157" t="s">
        <v>295</v>
      </c>
      <c r="B180" s="158" t="s">
        <v>296</v>
      </c>
      <c r="C180" s="159">
        <f>Quantitativos!J592</f>
        <v>115.5</v>
      </c>
      <c r="D180" s="160" t="s">
        <v>151</v>
      </c>
      <c r="E180" s="160" t="s">
        <v>152</v>
      </c>
    </row>
    <row r="181" spans="1:5" s="160" customFormat="1" x14ac:dyDescent="0.25">
      <c r="A181" s="157" t="s">
        <v>299</v>
      </c>
      <c r="B181" s="158" t="s">
        <v>866</v>
      </c>
      <c r="C181" s="159">
        <f>C180</f>
        <v>115.5</v>
      </c>
      <c r="D181" s="160" t="s">
        <v>151</v>
      </c>
      <c r="E181" s="160" t="s">
        <v>867</v>
      </c>
    </row>
    <row r="182" spans="1:5" s="38" customFormat="1" x14ac:dyDescent="0.25">
      <c r="A182" s="35"/>
      <c r="B182" s="36"/>
      <c r="C182" s="37"/>
    </row>
    <row r="183" spans="1:5" s="5" customFormat="1" x14ac:dyDescent="0.25">
      <c r="A183" s="15" t="s">
        <v>18</v>
      </c>
      <c r="B183" s="6" t="s">
        <v>19</v>
      </c>
      <c r="C183" s="11"/>
    </row>
    <row r="184" spans="1:5" s="174" customFormat="1" x14ac:dyDescent="0.25">
      <c r="A184" s="171" t="s">
        <v>300</v>
      </c>
      <c r="B184" s="172" t="s">
        <v>301</v>
      </c>
      <c r="C184" s="173">
        <f>Quantitativos!I600</f>
        <v>67.88</v>
      </c>
      <c r="D184" s="174" t="s">
        <v>160</v>
      </c>
      <c r="E184" s="174" t="s">
        <v>152</v>
      </c>
    </row>
    <row r="185" spans="1:5" s="174" customFormat="1" x14ac:dyDescent="0.25">
      <c r="A185" s="171" t="s">
        <v>302</v>
      </c>
      <c r="B185" s="172" t="s">
        <v>303</v>
      </c>
      <c r="C185" s="173">
        <f>Quantitativos!I608</f>
        <v>794.17</v>
      </c>
      <c r="D185" s="174" t="s">
        <v>160</v>
      </c>
      <c r="E185" s="174" t="s">
        <v>152</v>
      </c>
    </row>
    <row r="186" spans="1:5" s="174" customFormat="1" x14ac:dyDescent="0.25">
      <c r="A186" s="171" t="s">
        <v>307</v>
      </c>
      <c r="B186" s="172" t="s">
        <v>306</v>
      </c>
      <c r="C186" s="173">
        <v>5.58</v>
      </c>
      <c r="D186" s="174" t="s">
        <v>160</v>
      </c>
      <c r="E186" s="174" t="s">
        <v>828</v>
      </c>
    </row>
    <row r="187" spans="1:5" s="174" customFormat="1" x14ac:dyDescent="0.25">
      <c r="A187" s="171" t="s">
        <v>304</v>
      </c>
      <c r="B187" s="172" t="s">
        <v>305</v>
      </c>
      <c r="C187" s="173">
        <f>Quantitativos!I625</f>
        <v>136.66</v>
      </c>
      <c r="D187" s="174" t="s">
        <v>160</v>
      </c>
      <c r="E187" s="160" t="s">
        <v>152</v>
      </c>
    </row>
    <row r="188" spans="1:5" s="174" customFormat="1" x14ac:dyDescent="0.25">
      <c r="A188" s="171" t="s">
        <v>888</v>
      </c>
      <c r="B188" s="172" t="s">
        <v>887</v>
      </c>
      <c r="C188" s="173">
        <f>Quantitativos!I634</f>
        <v>76.14</v>
      </c>
      <c r="D188" s="174" t="s">
        <v>160</v>
      </c>
      <c r="E188" s="160" t="s">
        <v>152</v>
      </c>
    </row>
    <row r="189" spans="1:5" s="34" customFormat="1" x14ac:dyDescent="0.25">
      <c r="A189" s="31" t="s">
        <v>268</v>
      </c>
      <c r="B189" s="32" t="s">
        <v>269</v>
      </c>
      <c r="C189" s="33">
        <f>Quantitativos!I642</f>
        <v>983.52</v>
      </c>
      <c r="D189" s="34" t="s">
        <v>160</v>
      </c>
      <c r="E189" s="34" t="s">
        <v>152</v>
      </c>
    </row>
    <row r="191" spans="1:5" s="5" customFormat="1" x14ac:dyDescent="0.25">
      <c r="A191" s="15" t="s">
        <v>43</v>
      </c>
      <c r="B191" s="6" t="s">
        <v>44</v>
      </c>
      <c r="C191" s="11"/>
    </row>
    <row r="192" spans="1:5" s="174" customFormat="1" ht="30" x14ac:dyDescent="0.25">
      <c r="A192" s="171"/>
      <c r="B192" s="172" t="s">
        <v>868</v>
      </c>
      <c r="C192" s="173">
        <f>Quantitativos!J667</f>
        <v>527.69000000000005</v>
      </c>
      <c r="D192" s="174" t="s">
        <v>151</v>
      </c>
      <c r="E192" s="160" t="s">
        <v>152</v>
      </c>
    </row>
    <row r="193" spans="1:5" s="174" customFormat="1" ht="30" x14ac:dyDescent="0.25">
      <c r="A193" s="171"/>
      <c r="B193" s="172" t="s">
        <v>872</v>
      </c>
      <c r="C193" s="173">
        <f>Quantitativos!J674</f>
        <v>22.32</v>
      </c>
      <c r="D193" s="174" t="s">
        <v>151</v>
      </c>
      <c r="E193" s="160" t="s">
        <v>152</v>
      </c>
    </row>
    <row r="194" spans="1:5" s="174" customFormat="1" x14ac:dyDescent="0.25">
      <c r="A194" s="171" t="s">
        <v>713</v>
      </c>
      <c r="B194" s="172" t="s">
        <v>704</v>
      </c>
      <c r="C194" s="173">
        <f>Quantitativos!J712</f>
        <v>6.61</v>
      </c>
      <c r="D194" s="174" t="s">
        <v>151</v>
      </c>
      <c r="E194" s="174" t="s">
        <v>706</v>
      </c>
    </row>
    <row r="195" spans="1:5" s="174" customFormat="1" x14ac:dyDescent="0.25">
      <c r="A195" s="171" t="s">
        <v>713</v>
      </c>
      <c r="B195" s="172" t="s">
        <v>705</v>
      </c>
      <c r="C195" s="173">
        <f>Quantitativos!J722</f>
        <v>10.48</v>
      </c>
      <c r="D195" s="174" t="s">
        <v>151</v>
      </c>
      <c r="E195" s="174" t="s">
        <v>709</v>
      </c>
    </row>
    <row r="196" spans="1:5" s="174" customFormat="1" x14ac:dyDescent="0.25">
      <c r="A196" s="171" t="s">
        <v>713</v>
      </c>
      <c r="B196" s="172" t="s">
        <v>707</v>
      </c>
      <c r="C196" s="173">
        <f>Quantitativos!J732</f>
        <v>8.14</v>
      </c>
      <c r="D196" s="174" t="s">
        <v>151</v>
      </c>
      <c r="E196" s="174" t="s">
        <v>710</v>
      </c>
    </row>
    <row r="197" spans="1:5" s="174" customFormat="1" x14ac:dyDescent="0.25">
      <c r="A197" s="171" t="s">
        <v>713</v>
      </c>
      <c r="B197" s="172" t="s">
        <v>708</v>
      </c>
      <c r="C197" s="173">
        <f>Quantitativos!J742</f>
        <v>9.73</v>
      </c>
      <c r="D197" s="174" t="s">
        <v>151</v>
      </c>
    </row>
    <row r="198" spans="1:5" s="174" customFormat="1" x14ac:dyDescent="0.25">
      <c r="A198" s="171" t="s">
        <v>713</v>
      </c>
      <c r="B198" s="172" t="s">
        <v>711</v>
      </c>
      <c r="C198" s="173">
        <f>Quantitativos!J658</f>
        <v>0.16</v>
      </c>
      <c r="D198" s="174" t="s">
        <v>151</v>
      </c>
    </row>
    <row r="199" spans="1:5" s="174" customFormat="1" x14ac:dyDescent="0.25">
      <c r="A199" s="171"/>
      <c r="B199" s="172" t="s">
        <v>714</v>
      </c>
      <c r="C199" s="173">
        <f>Quantitativos!I686</f>
        <v>12.79</v>
      </c>
      <c r="D199" s="174" t="s">
        <v>160</v>
      </c>
    </row>
    <row r="200" spans="1:5" s="174" customFormat="1" x14ac:dyDescent="0.25">
      <c r="A200" s="171"/>
      <c r="B200" s="172" t="s">
        <v>715</v>
      </c>
      <c r="C200" s="173">
        <f>Quantitativos!I694</f>
        <v>15.9</v>
      </c>
      <c r="D200" s="174" t="s">
        <v>160</v>
      </c>
    </row>
    <row r="201" spans="1:5" s="174" customFormat="1" x14ac:dyDescent="0.25">
      <c r="A201" s="171"/>
      <c r="B201" s="172" t="s">
        <v>716</v>
      </c>
      <c r="C201" s="173">
        <f>Quantitativos!I702</f>
        <v>12.75</v>
      </c>
      <c r="D201" s="174" t="s">
        <v>160</v>
      </c>
    </row>
    <row r="202" spans="1:5" s="174" customFormat="1" x14ac:dyDescent="0.25">
      <c r="A202" s="171"/>
      <c r="B202" s="172" t="s">
        <v>717</v>
      </c>
      <c r="C202" s="173">
        <f>Quantitativos!I651</f>
        <v>42</v>
      </c>
      <c r="D202" s="174" t="s">
        <v>160</v>
      </c>
    </row>
    <row r="203" spans="1:5" s="174" customFormat="1" ht="45" x14ac:dyDescent="0.25">
      <c r="A203" s="171" t="s">
        <v>311</v>
      </c>
      <c r="B203" s="172" t="s">
        <v>381</v>
      </c>
      <c r="C203" s="173">
        <v>2</v>
      </c>
      <c r="D203" s="174" t="s">
        <v>168</v>
      </c>
      <c r="E203" s="172" t="s">
        <v>315</v>
      </c>
    </row>
    <row r="204" spans="1:5" s="174" customFormat="1" ht="45" x14ac:dyDescent="0.25">
      <c r="A204" s="171" t="s">
        <v>312</v>
      </c>
      <c r="B204" s="172" t="s">
        <v>382</v>
      </c>
      <c r="C204" s="173">
        <v>2</v>
      </c>
      <c r="D204" s="174" t="s">
        <v>168</v>
      </c>
      <c r="E204" s="172" t="s">
        <v>315</v>
      </c>
    </row>
    <row r="205" spans="1:5" s="174" customFormat="1" ht="30" x14ac:dyDescent="0.25">
      <c r="A205" s="171" t="s">
        <v>313</v>
      </c>
      <c r="B205" s="172" t="s">
        <v>316</v>
      </c>
      <c r="C205" s="173">
        <v>4</v>
      </c>
      <c r="D205" s="174" t="s">
        <v>168</v>
      </c>
      <c r="E205" s="172" t="s">
        <v>318</v>
      </c>
    </row>
    <row r="206" spans="1:5" s="174" customFormat="1" ht="30" x14ac:dyDescent="0.25">
      <c r="A206" s="171" t="s">
        <v>314</v>
      </c>
      <c r="B206" s="172" t="s">
        <v>317</v>
      </c>
      <c r="C206" s="173">
        <v>4</v>
      </c>
      <c r="D206" s="174" t="s">
        <v>168</v>
      </c>
      <c r="E206" s="172" t="s">
        <v>318</v>
      </c>
    </row>
    <row r="207" spans="1:5" s="174" customFormat="1" ht="45" x14ac:dyDescent="0.25">
      <c r="A207" s="171" t="s">
        <v>387</v>
      </c>
      <c r="B207" s="172" t="s">
        <v>319</v>
      </c>
      <c r="C207" s="173">
        <v>1</v>
      </c>
      <c r="D207" s="174" t="s">
        <v>168</v>
      </c>
      <c r="E207" s="172" t="s">
        <v>315</v>
      </c>
    </row>
    <row r="208" spans="1:5" s="174" customFormat="1" ht="45" x14ac:dyDescent="0.25">
      <c r="A208" s="171" t="s">
        <v>388</v>
      </c>
      <c r="B208" s="172" t="s">
        <v>383</v>
      </c>
      <c r="C208" s="173">
        <v>1</v>
      </c>
      <c r="D208" s="174" t="s">
        <v>168</v>
      </c>
      <c r="E208" s="172" t="s">
        <v>315</v>
      </c>
    </row>
    <row r="209" spans="1:5" s="174" customFormat="1" ht="45" x14ac:dyDescent="0.25">
      <c r="A209" s="171" t="s">
        <v>389</v>
      </c>
      <c r="B209" s="172" t="s">
        <v>384</v>
      </c>
      <c r="C209" s="173">
        <v>1</v>
      </c>
      <c r="D209" s="174" t="s">
        <v>168</v>
      </c>
      <c r="E209" s="172" t="s">
        <v>315</v>
      </c>
    </row>
    <row r="210" spans="1:5" s="174" customFormat="1" ht="45" x14ac:dyDescent="0.25">
      <c r="A210" s="171" t="s">
        <v>390</v>
      </c>
      <c r="B210" s="172" t="s">
        <v>385</v>
      </c>
      <c r="C210" s="173">
        <v>1</v>
      </c>
      <c r="D210" s="174" t="s">
        <v>168</v>
      </c>
      <c r="E210" s="172" t="s">
        <v>315</v>
      </c>
    </row>
    <row r="211" spans="1:5" s="174" customFormat="1" ht="45" x14ac:dyDescent="0.25">
      <c r="A211" s="171" t="s">
        <v>391</v>
      </c>
      <c r="B211" s="172" t="s">
        <v>386</v>
      </c>
      <c r="C211" s="173">
        <v>1</v>
      </c>
      <c r="D211" s="174" t="s">
        <v>168</v>
      </c>
      <c r="E211" s="172" t="s">
        <v>315</v>
      </c>
    </row>
    <row r="212" spans="1:5" s="38" customFormat="1" x14ac:dyDescent="0.25">
      <c r="A212" s="39"/>
      <c r="B212" s="40"/>
      <c r="C212" s="37"/>
      <c r="D212" s="42"/>
      <c r="E212" s="40"/>
    </row>
    <row r="213" spans="1:5" s="5" customFormat="1" x14ac:dyDescent="0.25">
      <c r="A213" s="15" t="s">
        <v>395</v>
      </c>
      <c r="B213" s="6" t="s">
        <v>394</v>
      </c>
      <c r="C213" s="11"/>
    </row>
    <row r="214" spans="1:5" s="174" customFormat="1" ht="30" x14ac:dyDescent="0.25">
      <c r="A214" s="171" t="s">
        <v>410</v>
      </c>
      <c r="B214" s="172" t="s">
        <v>396</v>
      </c>
      <c r="C214" s="173">
        <f>Quantitativos!C758</f>
        <v>8</v>
      </c>
      <c r="D214" s="174" t="s">
        <v>168</v>
      </c>
      <c r="E214" s="174" t="s">
        <v>152</v>
      </c>
    </row>
    <row r="215" spans="1:5" s="174" customFormat="1" ht="30" x14ac:dyDescent="0.25">
      <c r="A215" s="171" t="s">
        <v>411</v>
      </c>
      <c r="B215" s="172" t="s">
        <v>397</v>
      </c>
      <c r="C215" s="173">
        <f>Quantitativos!C765</f>
        <v>2</v>
      </c>
      <c r="D215" s="174" t="s">
        <v>168</v>
      </c>
      <c r="E215" s="174" t="s">
        <v>152</v>
      </c>
    </row>
    <row r="216" spans="1:5" s="174" customFormat="1" ht="45" x14ac:dyDescent="0.25">
      <c r="A216" s="171" t="s">
        <v>412</v>
      </c>
      <c r="B216" s="172" t="s">
        <v>400</v>
      </c>
      <c r="C216" s="173">
        <f>Quantitativos!C749</f>
        <v>2</v>
      </c>
      <c r="D216" s="174" t="s">
        <v>168</v>
      </c>
      <c r="E216" s="174" t="s">
        <v>152</v>
      </c>
    </row>
    <row r="217" spans="1:5" s="174" customFormat="1" ht="30" x14ac:dyDescent="0.25">
      <c r="A217" s="171" t="s">
        <v>413</v>
      </c>
      <c r="B217" s="172" t="s">
        <v>401</v>
      </c>
      <c r="C217" s="173">
        <f>Quantitativos!C785</f>
        <v>6</v>
      </c>
      <c r="D217" s="174" t="s">
        <v>168</v>
      </c>
      <c r="E217" s="174" t="s">
        <v>152</v>
      </c>
    </row>
    <row r="218" spans="1:5" s="174" customFormat="1" ht="45" x14ac:dyDescent="0.25">
      <c r="A218" s="171" t="s">
        <v>414</v>
      </c>
      <c r="B218" s="172" t="s">
        <v>402</v>
      </c>
      <c r="C218" s="173">
        <f>Quantitativos!C792</f>
        <v>2</v>
      </c>
      <c r="D218" s="174" t="s">
        <v>168</v>
      </c>
      <c r="E218" s="174" t="s">
        <v>152</v>
      </c>
    </row>
    <row r="219" spans="1:5" s="174" customFormat="1" ht="30" x14ac:dyDescent="0.25">
      <c r="A219" s="171" t="s">
        <v>415</v>
      </c>
      <c r="B219" s="172" t="s">
        <v>403</v>
      </c>
      <c r="C219" s="173">
        <f>C214</f>
        <v>8</v>
      </c>
      <c r="D219" s="174" t="s">
        <v>168</v>
      </c>
      <c r="E219" s="174" t="s">
        <v>421</v>
      </c>
    </row>
    <row r="220" spans="1:5" s="174" customFormat="1" ht="30" x14ac:dyDescent="0.25">
      <c r="A220" s="171" t="s">
        <v>416</v>
      </c>
      <c r="B220" s="172" t="s">
        <v>404</v>
      </c>
      <c r="C220" s="173">
        <f>C215</f>
        <v>2</v>
      </c>
      <c r="D220" s="174" t="s">
        <v>168</v>
      </c>
      <c r="E220" s="174" t="s">
        <v>422</v>
      </c>
    </row>
    <row r="221" spans="1:5" s="174" customFormat="1" x14ac:dyDescent="0.25">
      <c r="A221" s="171" t="s">
        <v>417</v>
      </c>
      <c r="B221" s="172" t="s">
        <v>405</v>
      </c>
      <c r="C221" s="173">
        <f>Quantitativos!C776</f>
        <v>6</v>
      </c>
      <c r="D221" s="174" t="s">
        <v>168</v>
      </c>
      <c r="E221" s="174" t="s">
        <v>152</v>
      </c>
    </row>
    <row r="222" spans="1:5" s="174" customFormat="1" x14ac:dyDescent="0.25">
      <c r="A222" s="171" t="s">
        <v>418</v>
      </c>
      <c r="B222" s="172" t="s">
        <v>406</v>
      </c>
      <c r="C222" s="173">
        <f>C214+C215</f>
        <v>10</v>
      </c>
      <c r="D222" s="174" t="s">
        <v>168</v>
      </c>
      <c r="E222" s="174" t="s">
        <v>407</v>
      </c>
    </row>
    <row r="223" spans="1:5" s="174" customFormat="1" x14ac:dyDescent="0.25">
      <c r="A223" s="171" t="s">
        <v>419</v>
      </c>
      <c r="B223" s="172" t="s">
        <v>408</v>
      </c>
      <c r="C223" s="173">
        <f>C214+C215</f>
        <v>10</v>
      </c>
      <c r="D223" s="174" t="s">
        <v>168</v>
      </c>
      <c r="E223" s="174" t="s">
        <v>407</v>
      </c>
    </row>
    <row r="224" spans="1:5" s="174" customFormat="1" x14ac:dyDescent="0.25">
      <c r="A224" s="171" t="s">
        <v>420</v>
      </c>
      <c r="B224" s="172" t="s">
        <v>409</v>
      </c>
      <c r="C224" s="173">
        <f>C214+C215</f>
        <v>10</v>
      </c>
      <c r="D224" s="174" t="s">
        <v>168</v>
      </c>
      <c r="E224" s="174" t="s">
        <v>407</v>
      </c>
    </row>
    <row r="225" spans="1:5" s="42" customFormat="1" x14ac:dyDescent="0.25">
      <c r="A225" s="39"/>
      <c r="B225" s="40"/>
      <c r="C225" s="41"/>
    </row>
    <row r="226" spans="1:5" s="5" customFormat="1" x14ac:dyDescent="0.25">
      <c r="A226" s="15" t="s">
        <v>399</v>
      </c>
      <c r="B226" s="6" t="s">
        <v>423</v>
      </c>
      <c r="C226" s="11"/>
    </row>
    <row r="227" spans="1:5" s="174" customFormat="1" ht="30" x14ac:dyDescent="0.25">
      <c r="A227" s="171" t="s">
        <v>431</v>
      </c>
      <c r="B227" s="172" t="s">
        <v>424</v>
      </c>
      <c r="C227" s="173">
        <f>C217+C218</f>
        <v>8</v>
      </c>
      <c r="D227" s="174" t="s">
        <v>168</v>
      </c>
      <c r="E227" s="174" t="s">
        <v>438</v>
      </c>
    </row>
    <row r="228" spans="1:5" s="174" customFormat="1" ht="30" x14ac:dyDescent="0.25">
      <c r="A228" s="171" t="s">
        <v>432</v>
      </c>
      <c r="B228" s="172" t="s">
        <v>425</v>
      </c>
      <c r="C228" s="173">
        <f>6</f>
        <v>6</v>
      </c>
      <c r="D228" s="174" t="s">
        <v>168</v>
      </c>
      <c r="E228" s="174" t="s">
        <v>439</v>
      </c>
    </row>
    <row r="229" spans="1:5" s="174" customFormat="1" ht="45" x14ac:dyDescent="0.25">
      <c r="A229" s="171" t="s">
        <v>433</v>
      </c>
      <c r="B229" s="172" t="s">
        <v>426</v>
      </c>
      <c r="C229" s="173">
        <f>6</f>
        <v>6</v>
      </c>
      <c r="D229" s="174" t="s">
        <v>168</v>
      </c>
      <c r="E229" s="174" t="s">
        <v>439</v>
      </c>
    </row>
    <row r="230" spans="1:5" s="174" customFormat="1" x14ac:dyDescent="0.25">
      <c r="A230" s="171" t="s">
        <v>434</v>
      </c>
      <c r="B230" s="172" t="s">
        <v>427</v>
      </c>
      <c r="C230" s="173">
        <f>C216+C217+C218</f>
        <v>10</v>
      </c>
      <c r="D230" s="174" t="s">
        <v>168</v>
      </c>
      <c r="E230" s="174" t="s">
        <v>440</v>
      </c>
    </row>
    <row r="231" spans="1:5" s="174" customFormat="1" ht="30" x14ac:dyDescent="0.25">
      <c r="A231" s="171" t="s">
        <v>435</v>
      </c>
      <c r="B231" s="172" t="s">
        <v>428</v>
      </c>
      <c r="C231" s="173">
        <v>2</v>
      </c>
      <c r="D231" s="174" t="s">
        <v>168</v>
      </c>
      <c r="E231" s="174" t="s">
        <v>441</v>
      </c>
    </row>
    <row r="232" spans="1:5" s="174" customFormat="1" ht="30" x14ac:dyDescent="0.25">
      <c r="A232" s="171" t="s">
        <v>436</v>
      </c>
      <c r="B232" s="172" t="s">
        <v>429</v>
      </c>
      <c r="C232" s="173">
        <v>8</v>
      </c>
      <c r="D232" s="174" t="s">
        <v>168</v>
      </c>
      <c r="E232" s="174" t="s">
        <v>442</v>
      </c>
    </row>
    <row r="233" spans="1:5" s="174" customFormat="1" x14ac:dyDescent="0.25">
      <c r="A233" s="171" t="s">
        <v>437</v>
      </c>
      <c r="B233" s="172" t="s">
        <v>430</v>
      </c>
      <c r="C233" s="173">
        <v>4</v>
      </c>
      <c r="D233" s="174" t="s">
        <v>168</v>
      </c>
      <c r="E233" s="174" t="s">
        <v>443</v>
      </c>
    </row>
    <row r="234" spans="1:5" s="174" customFormat="1" x14ac:dyDescent="0.25">
      <c r="A234" s="171" t="s">
        <v>448</v>
      </c>
      <c r="B234" s="172" t="s">
        <v>444</v>
      </c>
      <c r="C234" s="173">
        <f>C217</f>
        <v>6</v>
      </c>
      <c r="D234" s="174" t="s">
        <v>168</v>
      </c>
      <c r="E234" s="174" t="s">
        <v>446</v>
      </c>
    </row>
    <row r="235" spans="1:5" s="174" customFormat="1" x14ac:dyDescent="0.25">
      <c r="A235" s="171" t="s">
        <v>449</v>
      </c>
      <c r="B235" s="172" t="s">
        <v>445</v>
      </c>
      <c r="C235" s="173">
        <f>C218</f>
        <v>2</v>
      </c>
      <c r="D235" s="174" t="s">
        <v>168</v>
      </c>
      <c r="E235" s="174" t="s">
        <v>447</v>
      </c>
    </row>
    <row r="236" spans="1:5" s="38" customFormat="1" x14ac:dyDescent="0.25">
      <c r="A236" s="35"/>
      <c r="B236" s="36"/>
      <c r="C236" s="37"/>
    </row>
    <row r="237" spans="1:5" s="5" customFormat="1" x14ac:dyDescent="0.25">
      <c r="A237" s="15" t="s">
        <v>450</v>
      </c>
      <c r="B237" s="6" t="s">
        <v>451</v>
      </c>
      <c r="C237" s="11"/>
    </row>
    <row r="238" spans="1:5" s="174" customFormat="1" x14ac:dyDescent="0.25">
      <c r="A238" s="171" t="s">
        <v>456</v>
      </c>
      <c r="B238" s="172" t="s">
        <v>452</v>
      </c>
      <c r="C238" s="173">
        <f>Quantitativos!C803</f>
        <v>9</v>
      </c>
      <c r="D238" s="174" t="s">
        <v>168</v>
      </c>
      <c r="E238" s="174" t="s">
        <v>892</v>
      </c>
    </row>
    <row r="239" spans="1:5" s="174" customFormat="1" x14ac:dyDescent="0.25">
      <c r="A239" s="171" t="s">
        <v>457</v>
      </c>
      <c r="B239" s="172" t="s">
        <v>453</v>
      </c>
      <c r="C239" s="173">
        <f>Quantitativos!C813</f>
        <v>5</v>
      </c>
      <c r="D239" s="174" t="s">
        <v>168</v>
      </c>
      <c r="E239" s="174" t="s">
        <v>893</v>
      </c>
    </row>
    <row r="240" spans="1:5" s="174" customFormat="1" x14ac:dyDescent="0.25">
      <c r="A240" s="171" t="s">
        <v>458</v>
      </c>
      <c r="B240" s="172" t="s">
        <v>454</v>
      </c>
      <c r="C240" s="173">
        <f>C239+C238</f>
        <v>14</v>
      </c>
      <c r="D240" s="174" t="s">
        <v>168</v>
      </c>
      <c r="E240" s="174" t="s">
        <v>894</v>
      </c>
    </row>
    <row r="241" spans="1:5" s="174" customFormat="1" x14ac:dyDescent="0.25">
      <c r="A241" s="171" t="s">
        <v>459</v>
      </c>
      <c r="B241" s="172" t="s">
        <v>455</v>
      </c>
      <c r="C241" s="173">
        <v>5</v>
      </c>
      <c r="D241" s="174" t="s">
        <v>168</v>
      </c>
      <c r="E241" s="174" t="s">
        <v>893</v>
      </c>
    </row>
    <row r="242" spans="1:5" s="38" customFormat="1" x14ac:dyDescent="0.25">
      <c r="A242" s="35"/>
      <c r="B242" s="36"/>
      <c r="C242" s="37"/>
    </row>
    <row r="243" spans="1:5" s="38" customFormat="1" x14ac:dyDescent="0.25">
      <c r="A243" s="35"/>
      <c r="B243" s="36"/>
      <c r="C243" s="37"/>
    </row>
    <row r="244" spans="1:5" s="38" customFormat="1" x14ac:dyDescent="0.25">
      <c r="A244" s="35"/>
      <c r="B244" s="36"/>
      <c r="C244" s="37"/>
    </row>
    <row r="245" spans="1:5" s="38" customFormat="1" x14ac:dyDescent="0.25">
      <c r="A245" s="35"/>
      <c r="B245" s="36"/>
      <c r="C245" s="37"/>
    </row>
    <row r="246" spans="1:5" s="38" customFormat="1" x14ac:dyDescent="0.25">
      <c r="A246" s="35"/>
      <c r="B246" s="36"/>
      <c r="C246" s="37"/>
    </row>
    <row r="247" spans="1:5" s="38" customFormat="1" x14ac:dyDescent="0.25">
      <c r="A247" s="35"/>
      <c r="B247" s="36"/>
      <c r="C247" s="37"/>
    </row>
    <row r="248" spans="1:5" s="38" customFormat="1" x14ac:dyDescent="0.25">
      <c r="A248" s="35"/>
      <c r="B248" s="36"/>
      <c r="C248" s="37"/>
    </row>
    <row r="249" spans="1:5" s="38" customFormat="1" x14ac:dyDescent="0.25">
      <c r="A249" s="35"/>
      <c r="B249" s="36"/>
      <c r="C249" s="37"/>
    </row>
    <row r="250" spans="1:5" s="38" customFormat="1" x14ac:dyDescent="0.25">
      <c r="A250" s="35"/>
      <c r="B250" s="36"/>
      <c r="C250" s="37"/>
    </row>
    <row r="251" spans="1:5" s="38" customFormat="1" x14ac:dyDescent="0.25">
      <c r="A251" s="35"/>
      <c r="B251" s="36"/>
      <c r="C251" s="37"/>
    </row>
    <row r="252" spans="1:5" s="38" customFormat="1" x14ac:dyDescent="0.25">
      <c r="A252" s="35"/>
      <c r="B252" s="36"/>
      <c r="C252" s="37"/>
    </row>
    <row r="253" spans="1:5" s="38" customFormat="1" x14ac:dyDescent="0.25">
      <c r="A253" s="35"/>
      <c r="B253" s="36"/>
      <c r="C253" s="37"/>
    </row>
    <row r="254" spans="1:5" s="38" customFormat="1" x14ac:dyDescent="0.25">
      <c r="A254" s="35"/>
      <c r="B254" s="36"/>
      <c r="C254" s="37"/>
    </row>
    <row r="255" spans="1:5" s="38" customFormat="1" x14ac:dyDescent="0.25">
      <c r="A255" s="35"/>
      <c r="B255" s="36"/>
      <c r="C255" s="37"/>
    </row>
    <row r="256" spans="1:5" s="38" customFormat="1" x14ac:dyDescent="0.25">
      <c r="A256" s="35"/>
      <c r="B256" s="36"/>
      <c r="C256" s="37"/>
    </row>
    <row r="257" spans="1:5" s="38" customFormat="1" x14ac:dyDescent="0.25">
      <c r="A257" s="35"/>
      <c r="B257" s="36"/>
      <c r="C257" s="37"/>
    </row>
    <row r="258" spans="1:5" s="38" customFormat="1" x14ac:dyDescent="0.25">
      <c r="A258" s="35"/>
      <c r="B258" s="36"/>
      <c r="C258" s="37"/>
    </row>
    <row r="259" spans="1:5" s="5" customFormat="1" x14ac:dyDescent="0.25">
      <c r="A259" s="15" t="s">
        <v>45</v>
      </c>
      <c r="B259" s="6" t="s">
        <v>46</v>
      </c>
      <c r="C259" s="11"/>
    </row>
    <row r="260" spans="1:5" s="34" customFormat="1" x14ac:dyDescent="0.25">
      <c r="A260" s="31"/>
      <c r="B260" s="32"/>
      <c r="C260" s="33"/>
    </row>
    <row r="261" spans="1:5" s="34" customFormat="1" x14ac:dyDescent="0.25">
      <c r="A261" s="31"/>
      <c r="B261" s="32"/>
      <c r="C261" s="33"/>
    </row>
    <row r="262" spans="1:5" s="34" customFormat="1" x14ac:dyDescent="0.25">
      <c r="A262" s="31"/>
      <c r="B262" s="32"/>
      <c r="C262" s="33"/>
    </row>
    <row r="263" spans="1:5" s="34" customFormat="1" x14ac:dyDescent="0.25">
      <c r="A263" s="31"/>
      <c r="B263" s="32"/>
      <c r="C263" s="33"/>
    </row>
    <row r="264" spans="1:5" s="3" customFormat="1" x14ac:dyDescent="0.25">
      <c r="A264" s="14" t="s">
        <v>843</v>
      </c>
      <c r="B264" s="4" t="s">
        <v>844</v>
      </c>
      <c r="C264" s="10"/>
    </row>
    <row r="266" spans="1:5" s="5" customFormat="1" x14ac:dyDescent="0.25">
      <c r="A266" s="15" t="s">
        <v>845</v>
      </c>
      <c r="B266" s="6" t="s">
        <v>846</v>
      </c>
      <c r="C266" s="11"/>
    </row>
    <row r="267" spans="1:5" s="160" customFormat="1" x14ac:dyDescent="0.25">
      <c r="A267" s="157" t="s">
        <v>847</v>
      </c>
      <c r="B267" s="158" t="s">
        <v>848</v>
      </c>
      <c r="C267" s="159">
        <f>2*2*2*2</f>
        <v>16</v>
      </c>
      <c r="D267" s="160" t="s">
        <v>849</v>
      </c>
      <c r="E267" s="160" t="s">
        <v>850</v>
      </c>
    </row>
    <row r="268" spans="1:5" s="160" customFormat="1" x14ac:dyDescent="0.25">
      <c r="A268" s="157" t="s">
        <v>853</v>
      </c>
      <c r="B268" s="158" t="s">
        <v>851</v>
      </c>
      <c r="C268" s="159">
        <f>0.07*24*2*2</f>
        <v>6.7200000000000006</v>
      </c>
      <c r="D268" s="160" t="s">
        <v>160</v>
      </c>
      <c r="E268" s="160" t="s">
        <v>852</v>
      </c>
    </row>
    <row r="269" spans="1:5" s="34" customFormat="1" x14ac:dyDescent="0.25">
      <c r="A269" s="31"/>
      <c r="B269" s="32"/>
      <c r="C269" s="33"/>
    </row>
    <row r="270" spans="1:5" s="34" customFormat="1" x14ac:dyDescent="0.25">
      <c r="A270" s="31"/>
      <c r="B270" s="32"/>
      <c r="C270" s="33"/>
    </row>
    <row r="271" spans="1:5" s="34" customFormat="1" x14ac:dyDescent="0.25">
      <c r="A271" s="31"/>
      <c r="B271" s="32"/>
      <c r="C271" s="33"/>
    </row>
    <row r="273" spans="1:4" s="1" customFormat="1" x14ac:dyDescent="0.25">
      <c r="A273" s="13" t="s">
        <v>47</v>
      </c>
      <c r="B273" s="2" t="s">
        <v>49</v>
      </c>
      <c r="C273" s="9"/>
    </row>
    <row r="275" spans="1:4" s="3" customFormat="1" x14ac:dyDescent="0.25">
      <c r="A275" s="14" t="s">
        <v>525</v>
      </c>
      <c r="B275" s="4" t="s">
        <v>48</v>
      </c>
      <c r="C275" s="10"/>
    </row>
    <row r="277" spans="1:4" s="5" customFormat="1" x14ac:dyDescent="0.25">
      <c r="A277" s="15" t="s">
        <v>526</v>
      </c>
      <c r="B277" s="6" t="s">
        <v>527</v>
      </c>
      <c r="C277" s="11"/>
    </row>
    <row r="278" spans="1:4" s="38" customFormat="1" x14ac:dyDescent="0.25">
      <c r="A278" s="35" t="s">
        <v>529</v>
      </c>
      <c r="B278" s="36" t="s">
        <v>528</v>
      </c>
      <c r="C278" s="37">
        <f>Quantitativos!K824</f>
        <v>85.25</v>
      </c>
      <c r="D278" s="38" t="s">
        <v>521</v>
      </c>
    </row>
    <row r="279" spans="1:4" s="38" customFormat="1" x14ac:dyDescent="0.25">
      <c r="A279" s="35" t="s">
        <v>539</v>
      </c>
      <c r="B279" s="36" t="s">
        <v>538</v>
      </c>
      <c r="C279" s="37">
        <f>C278</f>
        <v>85.25</v>
      </c>
      <c r="D279" s="38" t="s">
        <v>521</v>
      </c>
    </row>
    <row r="280" spans="1:4" s="5" customFormat="1" x14ac:dyDescent="0.25">
      <c r="A280" s="15"/>
      <c r="B280" s="6"/>
      <c r="C280" s="11"/>
    </row>
    <row r="281" spans="1:4" s="5" customFormat="1" x14ac:dyDescent="0.25">
      <c r="A281" s="15"/>
      <c r="B281" s="6"/>
      <c r="C281" s="11"/>
    </row>
    <row r="282" spans="1:4" s="5" customFormat="1" x14ac:dyDescent="0.25">
      <c r="A282" s="15"/>
      <c r="B282" s="6"/>
      <c r="C282" s="11"/>
    </row>
    <row r="283" spans="1:4" s="5" customFormat="1" x14ac:dyDescent="0.25">
      <c r="A283" s="15"/>
      <c r="B283" s="6"/>
      <c r="C283" s="11"/>
    </row>
    <row r="284" spans="1:4" s="34" customFormat="1" x14ac:dyDescent="0.25">
      <c r="A284" s="31"/>
      <c r="B284" s="32"/>
      <c r="C284" s="33"/>
    </row>
    <row r="286" spans="1:4" s="1" customFormat="1" x14ac:dyDescent="0.25">
      <c r="A286" s="13" t="s">
        <v>676</v>
      </c>
      <c r="B286" s="2" t="s">
        <v>677</v>
      </c>
      <c r="C286" s="9"/>
    </row>
    <row r="288" spans="1:4" s="3" customFormat="1" x14ac:dyDescent="0.25">
      <c r="A288" s="14" t="s">
        <v>678</v>
      </c>
      <c r="B288" s="4" t="s">
        <v>679</v>
      </c>
      <c r="C288" s="10"/>
    </row>
    <row r="290" spans="1:5" s="5" customFormat="1" x14ac:dyDescent="0.25">
      <c r="A290" s="15" t="s">
        <v>680</v>
      </c>
      <c r="B290" s="6" t="s">
        <v>681</v>
      </c>
      <c r="C290" s="11"/>
    </row>
    <row r="291" spans="1:5" s="38" customFormat="1" x14ac:dyDescent="0.25">
      <c r="A291" s="35" t="s">
        <v>682</v>
      </c>
      <c r="B291" s="36" t="s">
        <v>683</v>
      </c>
      <c r="C291" s="37">
        <f>51.5</f>
        <v>51.5</v>
      </c>
      <c r="D291" s="38" t="s">
        <v>160</v>
      </c>
    </row>
    <row r="292" spans="1:5" s="38" customFormat="1" x14ac:dyDescent="0.25">
      <c r="A292" s="35" t="s">
        <v>686</v>
      </c>
      <c r="B292" s="36" t="s">
        <v>687</v>
      </c>
      <c r="C292" s="37">
        <v>5</v>
      </c>
      <c r="D292" s="38" t="s">
        <v>168</v>
      </c>
    </row>
    <row r="293" spans="1:5" s="38" customFormat="1" x14ac:dyDescent="0.25">
      <c r="A293" s="35" t="s">
        <v>684</v>
      </c>
      <c r="B293" s="36" t="s">
        <v>688</v>
      </c>
      <c r="C293" s="37">
        <v>2</v>
      </c>
      <c r="D293" s="38" t="s">
        <v>168</v>
      </c>
    </row>
    <row r="294" spans="1:5" s="38" customFormat="1" x14ac:dyDescent="0.25">
      <c r="A294" s="35" t="s">
        <v>685</v>
      </c>
      <c r="B294" s="36" t="s">
        <v>689</v>
      </c>
      <c r="C294" s="37">
        <v>1</v>
      </c>
      <c r="D294" s="38" t="s">
        <v>168</v>
      </c>
    </row>
    <row r="295" spans="1:5" s="38" customFormat="1" x14ac:dyDescent="0.25">
      <c r="A295" s="35"/>
      <c r="B295" s="36"/>
      <c r="C295" s="37"/>
    </row>
    <row r="296" spans="1:5" s="5" customFormat="1" x14ac:dyDescent="0.25">
      <c r="A296" s="15" t="s">
        <v>690</v>
      </c>
      <c r="B296" s="6" t="s">
        <v>44</v>
      </c>
      <c r="C296" s="11"/>
    </row>
    <row r="297" spans="1:5" s="160" customFormat="1" x14ac:dyDescent="0.25">
      <c r="A297" s="157"/>
      <c r="B297" s="158" t="s">
        <v>691</v>
      </c>
      <c r="C297" s="159">
        <f>1+21+3+11</f>
        <v>36</v>
      </c>
      <c r="D297" s="174" t="s">
        <v>168</v>
      </c>
      <c r="E297" s="181">
        <v>37539</v>
      </c>
    </row>
    <row r="298" spans="1:5" s="160" customFormat="1" x14ac:dyDescent="0.25">
      <c r="A298" s="157"/>
      <c r="B298" s="158" t="s">
        <v>692</v>
      </c>
      <c r="C298" s="159">
        <f>7</f>
        <v>7</v>
      </c>
      <c r="D298" s="174" t="s">
        <v>168</v>
      </c>
      <c r="E298" s="181">
        <v>37559</v>
      </c>
    </row>
    <row r="299" spans="1:5" s="160" customFormat="1" x14ac:dyDescent="0.25">
      <c r="A299" s="157"/>
      <c r="B299" s="158" t="s">
        <v>698</v>
      </c>
      <c r="C299" s="159">
        <f>3+2+2</f>
        <v>7</v>
      </c>
      <c r="D299" s="174" t="s">
        <v>168</v>
      </c>
      <c r="E299" s="181">
        <v>37559</v>
      </c>
    </row>
    <row r="300" spans="1:5" s="160" customFormat="1" x14ac:dyDescent="0.25">
      <c r="A300" s="157"/>
      <c r="B300" s="158" t="s">
        <v>693</v>
      </c>
      <c r="C300" s="159">
        <v>3</v>
      </c>
      <c r="D300" s="174" t="s">
        <v>168</v>
      </c>
      <c r="E300" s="181">
        <v>37557</v>
      </c>
    </row>
    <row r="301" spans="1:5" s="160" customFormat="1" x14ac:dyDescent="0.25">
      <c r="A301" s="157"/>
      <c r="B301" s="158" t="s">
        <v>694</v>
      </c>
      <c r="C301" s="159">
        <v>2</v>
      </c>
      <c r="D301" s="174" t="s">
        <v>168</v>
      </c>
      <c r="E301" s="181">
        <v>37557</v>
      </c>
    </row>
    <row r="302" spans="1:5" s="160" customFormat="1" x14ac:dyDescent="0.25">
      <c r="A302" s="157"/>
      <c r="B302" s="158" t="s">
        <v>695</v>
      </c>
      <c r="C302" s="159">
        <v>13</v>
      </c>
      <c r="D302" s="174" t="s">
        <v>168</v>
      </c>
      <c r="E302" s="181" t="s">
        <v>699</v>
      </c>
    </row>
    <row r="303" spans="1:5" s="160" customFormat="1" x14ac:dyDescent="0.25">
      <c r="A303" s="157"/>
      <c r="B303" s="158" t="s">
        <v>696</v>
      </c>
      <c r="C303" s="159">
        <v>19</v>
      </c>
      <c r="D303" s="174" t="s">
        <v>168</v>
      </c>
      <c r="E303" s="181">
        <v>37556</v>
      </c>
    </row>
    <row r="304" spans="1:5" s="160" customFormat="1" x14ac:dyDescent="0.25">
      <c r="A304" s="157"/>
      <c r="B304" s="158" t="s">
        <v>697</v>
      </c>
      <c r="C304" s="159">
        <v>2</v>
      </c>
      <c r="D304" s="174" t="s">
        <v>168</v>
      </c>
      <c r="E304" s="181">
        <v>37556</v>
      </c>
    </row>
    <row r="306" spans="1:5" s="1" customFormat="1" x14ac:dyDescent="0.25">
      <c r="A306" s="13" t="s">
        <v>918</v>
      </c>
      <c r="B306" s="2" t="s">
        <v>919</v>
      </c>
      <c r="C306" s="9"/>
    </row>
    <row r="308" spans="1:5" s="3" customFormat="1" x14ac:dyDescent="0.25">
      <c r="A308" s="14" t="s">
        <v>918</v>
      </c>
      <c r="B308" s="4" t="s">
        <v>920</v>
      </c>
      <c r="C308" s="10"/>
    </row>
    <row r="310" spans="1:5" s="5" customFormat="1" x14ac:dyDescent="0.25">
      <c r="A310" s="35"/>
      <c r="B310" s="36" t="s">
        <v>921</v>
      </c>
      <c r="C310" s="37">
        <f>2*775+116</f>
        <v>1666</v>
      </c>
      <c r="D310" s="38" t="s">
        <v>151</v>
      </c>
      <c r="E310" s="38" t="s">
        <v>931</v>
      </c>
    </row>
    <row r="311" spans="1:5" s="38" customFormat="1" x14ac:dyDescent="0.25">
      <c r="A311" s="35"/>
      <c r="B311" s="36" t="s">
        <v>922</v>
      </c>
      <c r="C311" s="37">
        <f t="shared" ref="C311:C319" si="0">2*775+116</f>
        <v>1666</v>
      </c>
      <c r="D311" s="38" t="s">
        <v>151</v>
      </c>
      <c r="E311" s="38" t="s">
        <v>931</v>
      </c>
    </row>
    <row r="312" spans="1:5" s="38" customFormat="1" x14ac:dyDescent="0.25">
      <c r="A312" s="35"/>
      <c r="B312" s="36" t="s">
        <v>923</v>
      </c>
      <c r="C312" s="37">
        <f t="shared" si="0"/>
        <v>1666</v>
      </c>
      <c r="D312" s="38" t="s">
        <v>151</v>
      </c>
      <c r="E312" s="38" t="s">
        <v>931</v>
      </c>
    </row>
    <row r="313" spans="1:5" s="38" customFormat="1" x14ac:dyDescent="0.25">
      <c r="A313" s="35"/>
      <c r="B313" s="36" t="s">
        <v>924</v>
      </c>
      <c r="C313" s="37">
        <f t="shared" si="0"/>
        <v>1666</v>
      </c>
      <c r="D313" s="38" t="s">
        <v>151</v>
      </c>
      <c r="E313" s="38" t="s">
        <v>931</v>
      </c>
    </row>
    <row r="314" spans="1:5" s="38" customFormat="1" x14ac:dyDescent="0.25">
      <c r="A314" s="35"/>
      <c r="B314" s="36" t="s">
        <v>925</v>
      </c>
      <c r="C314" s="37">
        <f t="shared" si="0"/>
        <v>1666</v>
      </c>
      <c r="D314" s="38" t="s">
        <v>151</v>
      </c>
      <c r="E314" s="38" t="s">
        <v>931</v>
      </c>
    </row>
    <row r="315" spans="1:5" x14ac:dyDescent="0.25">
      <c r="B315" s="8" t="s">
        <v>926</v>
      </c>
      <c r="C315" s="37">
        <f t="shared" si="0"/>
        <v>1666</v>
      </c>
      <c r="D315" s="38" t="s">
        <v>151</v>
      </c>
      <c r="E315" s="38" t="s">
        <v>931</v>
      </c>
    </row>
    <row r="316" spans="1:5" x14ac:dyDescent="0.25">
      <c r="B316" s="8" t="s">
        <v>927</v>
      </c>
      <c r="C316" s="37">
        <f t="shared" si="0"/>
        <v>1666</v>
      </c>
      <c r="D316" s="38" t="s">
        <v>151</v>
      </c>
      <c r="E316" s="38" t="s">
        <v>931</v>
      </c>
    </row>
    <row r="317" spans="1:5" x14ac:dyDescent="0.25">
      <c r="B317" s="8" t="s">
        <v>928</v>
      </c>
      <c r="C317" s="37">
        <f t="shared" si="0"/>
        <v>1666</v>
      </c>
      <c r="D317" s="38" t="s">
        <v>151</v>
      </c>
      <c r="E317" s="38" t="s">
        <v>931</v>
      </c>
    </row>
    <row r="318" spans="1:5" x14ac:dyDescent="0.25">
      <c r="B318" s="8" t="s">
        <v>929</v>
      </c>
      <c r="C318" s="37">
        <f t="shared" si="0"/>
        <v>1666</v>
      </c>
      <c r="D318" s="38" t="s">
        <v>151</v>
      </c>
      <c r="E318" s="38" t="s">
        <v>931</v>
      </c>
    </row>
    <row r="319" spans="1:5" x14ac:dyDescent="0.25">
      <c r="B319" s="8" t="s">
        <v>930</v>
      </c>
      <c r="C319" s="37">
        <f t="shared" si="0"/>
        <v>1666</v>
      </c>
      <c r="D319" s="38" t="s">
        <v>151</v>
      </c>
      <c r="E319" s="38" t="s">
        <v>931</v>
      </c>
    </row>
  </sheetData>
  <sortState xmlns:xlrd2="http://schemas.microsoft.com/office/spreadsheetml/2017/richdata2" ref="J166:J175">
    <sortCondition ref="J166"/>
  </sortState>
  <phoneticPr fontId="3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A81E5-C302-4DAB-8885-0E7E5EE8B2D0}">
  <sheetPr codeName="Plan17"/>
  <dimension ref="A1:T838"/>
  <sheetViews>
    <sheetView view="pageLayout" topLeftCell="A91" zoomScaleNormal="100" zoomScaleSheetLayoutView="70" workbookViewId="0">
      <selection activeCell="E34" sqref="E34:E35"/>
    </sheetView>
  </sheetViews>
  <sheetFormatPr defaultRowHeight="12.75" x14ac:dyDescent="0.25"/>
  <cols>
    <col min="1" max="1" width="12.140625" style="30" customWidth="1"/>
    <col min="2" max="2" width="25.85546875" style="18" customWidth="1"/>
    <col min="3" max="3" width="9.140625" style="18" bestFit="1" customWidth="1"/>
    <col min="4" max="4" width="8" style="18" bestFit="1" customWidth="1"/>
    <col min="5" max="5" width="9.7109375" style="18" bestFit="1" customWidth="1"/>
    <col min="6" max="6" width="8" style="18" bestFit="1" customWidth="1"/>
    <col min="7" max="7" width="9.7109375" style="18" bestFit="1" customWidth="1"/>
    <col min="8" max="8" width="7.42578125" style="18" bestFit="1" customWidth="1"/>
    <col min="9" max="9" width="8.85546875" style="18" bestFit="1" customWidth="1"/>
    <col min="10" max="10" width="8.5703125" style="18" bestFit="1" customWidth="1"/>
    <col min="11" max="11" width="8.28515625" style="18" customWidth="1"/>
    <col min="12" max="13" width="10.42578125" style="18" bestFit="1" customWidth="1"/>
    <col min="14" max="14" width="13.140625" style="18" bestFit="1" customWidth="1"/>
    <col min="15" max="256" width="9.140625" style="18"/>
    <col min="257" max="257" width="9.140625" style="18" customWidth="1"/>
    <col min="258" max="258" width="25.85546875" style="18" customWidth="1"/>
    <col min="259" max="259" width="5.7109375" style="18" bestFit="1" customWidth="1"/>
    <col min="260" max="260" width="7.140625" style="18" bestFit="1" customWidth="1"/>
    <col min="261" max="261" width="7.28515625" style="18" bestFit="1" customWidth="1"/>
    <col min="262" max="262" width="6.140625" style="18" bestFit="1" customWidth="1"/>
    <col min="263" max="265" width="7.28515625" style="18" bestFit="1" customWidth="1"/>
    <col min="266" max="266" width="8" style="18" bestFit="1" customWidth="1"/>
    <col min="267" max="267" width="8.28515625" style="18" customWidth="1"/>
    <col min="268" max="269" width="10.42578125" style="18" bestFit="1" customWidth="1"/>
    <col min="270" max="270" width="13.140625" style="18" bestFit="1" customWidth="1"/>
    <col min="271" max="512" width="9.140625" style="18"/>
    <col min="513" max="513" width="9.140625" style="18" customWidth="1"/>
    <col min="514" max="514" width="25.85546875" style="18" customWidth="1"/>
    <col min="515" max="515" width="5.7109375" style="18" bestFit="1" customWidth="1"/>
    <col min="516" max="516" width="7.140625" style="18" bestFit="1" customWidth="1"/>
    <col min="517" max="517" width="7.28515625" style="18" bestFit="1" customWidth="1"/>
    <col min="518" max="518" width="6.140625" style="18" bestFit="1" customWidth="1"/>
    <col min="519" max="521" width="7.28515625" style="18" bestFit="1" customWidth="1"/>
    <col min="522" max="522" width="8" style="18" bestFit="1" customWidth="1"/>
    <col min="523" max="523" width="8.28515625" style="18" customWidth="1"/>
    <col min="524" max="525" width="10.42578125" style="18" bestFit="1" customWidth="1"/>
    <col min="526" max="526" width="13.140625" style="18" bestFit="1" customWidth="1"/>
    <col min="527" max="768" width="9.140625" style="18"/>
    <col min="769" max="769" width="9.140625" style="18" customWidth="1"/>
    <col min="770" max="770" width="25.85546875" style="18" customWidth="1"/>
    <col min="771" max="771" width="5.7109375" style="18" bestFit="1" customWidth="1"/>
    <col min="772" max="772" width="7.140625" style="18" bestFit="1" customWidth="1"/>
    <col min="773" max="773" width="7.28515625" style="18" bestFit="1" customWidth="1"/>
    <col min="774" max="774" width="6.140625" style="18" bestFit="1" customWidth="1"/>
    <col min="775" max="777" width="7.28515625" style="18" bestFit="1" customWidth="1"/>
    <col min="778" max="778" width="8" style="18" bestFit="1" customWidth="1"/>
    <col min="779" max="779" width="8.28515625" style="18" customWidth="1"/>
    <col min="780" max="781" width="10.42578125" style="18" bestFit="1" customWidth="1"/>
    <col min="782" max="782" width="13.140625" style="18" bestFit="1" customWidth="1"/>
    <col min="783" max="1024" width="9.140625" style="18"/>
    <col min="1025" max="1025" width="9.140625" style="18" customWidth="1"/>
    <col min="1026" max="1026" width="25.85546875" style="18" customWidth="1"/>
    <col min="1027" max="1027" width="5.7109375" style="18" bestFit="1" customWidth="1"/>
    <col min="1028" max="1028" width="7.140625" style="18" bestFit="1" customWidth="1"/>
    <col min="1029" max="1029" width="7.28515625" style="18" bestFit="1" customWidth="1"/>
    <col min="1030" max="1030" width="6.140625" style="18" bestFit="1" customWidth="1"/>
    <col min="1031" max="1033" width="7.28515625" style="18" bestFit="1" customWidth="1"/>
    <col min="1034" max="1034" width="8" style="18" bestFit="1" customWidth="1"/>
    <col min="1035" max="1035" width="8.28515625" style="18" customWidth="1"/>
    <col min="1036" max="1037" width="10.42578125" style="18" bestFit="1" customWidth="1"/>
    <col min="1038" max="1038" width="13.140625" style="18" bestFit="1" customWidth="1"/>
    <col min="1039" max="1280" width="9.140625" style="18"/>
    <col min="1281" max="1281" width="9.140625" style="18" customWidth="1"/>
    <col min="1282" max="1282" width="25.85546875" style="18" customWidth="1"/>
    <col min="1283" max="1283" width="5.7109375" style="18" bestFit="1" customWidth="1"/>
    <col min="1284" max="1284" width="7.140625" style="18" bestFit="1" customWidth="1"/>
    <col min="1285" max="1285" width="7.28515625" style="18" bestFit="1" customWidth="1"/>
    <col min="1286" max="1286" width="6.140625" style="18" bestFit="1" customWidth="1"/>
    <col min="1287" max="1289" width="7.28515625" style="18" bestFit="1" customWidth="1"/>
    <col min="1290" max="1290" width="8" style="18" bestFit="1" customWidth="1"/>
    <col min="1291" max="1291" width="8.28515625" style="18" customWidth="1"/>
    <col min="1292" max="1293" width="10.42578125" style="18" bestFit="1" customWidth="1"/>
    <col min="1294" max="1294" width="13.140625" style="18" bestFit="1" customWidth="1"/>
    <col min="1295" max="1536" width="9.140625" style="18"/>
    <col min="1537" max="1537" width="9.140625" style="18" customWidth="1"/>
    <col min="1538" max="1538" width="25.85546875" style="18" customWidth="1"/>
    <col min="1539" max="1539" width="5.7109375" style="18" bestFit="1" customWidth="1"/>
    <col min="1540" max="1540" width="7.140625" style="18" bestFit="1" customWidth="1"/>
    <col min="1541" max="1541" width="7.28515625" style="18" bestFit="1" customWidth="1"/>
    <col min="1542" max="1542" width="6.140625" style="18" bestFit="1" customWidth="1"/>
    <col min="1543" max="1545" width="7.28515625" style="18" bestFit="1" customWidth="1"/>
    <col min="1546" max="1546" width="8" style="18" bestFit="1" customWidth="1"/>
    <col min="1547" max="1547" width="8.28515625" style="18" customWidth="1"/>
    <col min="1548" max="1549" width="10.42578125" style="18" bestFit="1" customWidth="1"/>
    <col min="1550" max="1550" width="13.140625" style="18" bestFit="1" customWidth="1"/>
    <col min="1551" max="1792" width="9.140625" style="18"/>
    <col min="1793" max="1793" width="9.140625" style="18" customWidth="1"/>
    <col min="1794" max="1794" width="25.85546875" style="18" customWidth="1"/>
    <col min="1795" max="1795" width="5.7109375" style="18" bestFit="1" customWidth="1"/>
    <col min="1796" max="1796" width="7.140625" style="18" bestFit="1" customWidth="1"/>
    <col min="1797" max="1797" width="7.28515625" style="18" bestFit="1" customWidth="1"/>
    <col min="1798" max="1798" width="6.140625" style="18" bestFit="1" customWidth="1"/>
    <col min="1799" max="1801" width="7.28515625" style="18" bestFit="1" customWidth="1"/>
    <col min="1802" max="1802" width="8" style="18" bestFit="1" customWidth="1"/>
    <col min="1803" max="1803" width="8.28515625" style="18" customWidth="1"/>
    <col min="1804" max="1805" width="10.42578125" style="18" bestFit="1" customWidth="1"/>
    <col min="1806" max="1806" width="13.140625" style="18" bestFit="1" customWidth="1"/>
    <col min="1807" max="2048" width="9.140625" style="18"/>
    <col min="2049" max="2049" width="9.140625" style="18" customWidth="1"/>
    <col min="2050" max="2050" width="25.85546875" style="18" customWidth="1"/>
    <col min="2051" max="2051" width="5.7109375" style="18" bestFit="1" customWidth="1"/>
    <col min="2052" max="2052" width="7.140625" style="18" bestFit="1" customWidth="1"/>
    <col min="2053" max="2053" width="7.28515625" style="18" bestFit="1" customWidth="1"/>
    <col min="2054" max="2054" width="6.140625" style="18" bestFit="1" customWidth="1"/>
    <col min="2055" max="2057" width="7.28515625" style="18" bestFit="1" customWidth="1"/>
    <col min="2058" max="2058" width="8" style="18" bestFit="1" customWidth="1"/>
    <col min="2059" max="2059" width="8.28515625" style="18" customWidth="1"/>
    <col min="2060" max="2061" width="10.42578125" style="18" bestFit="1" customWidth="1"/>
    <col min="2062" max="2062" width="13.140625" style="18" bestFit="1" customWidth="1"/>
    <col min="2063" max="2304" width="9.140625" style="18"/>
    <col min="2305" max="2305" width="9.140625" style="18" customWidth="1"/>
    <col min="2306" max="2306" width="25.85546875" style="18" customWidth="1"/>
    <col min="2307" max="2307" width="5.7109375" style="18" bestFit="1" customWidth="1"/>
    <col min="2308" max="2308" width="7.140625" style="18" bestFit="1" customWidth="1"/>
    <col min="2309" max="2309" width="7.28515625" style="18" bestFit="1" customWidth="1"/>
    <col min="2310" max="2310" width="6.140625" style="18" bestFit="1" customWidth="1"/>
    <col min="2311" max="2313" width="7.28515625" style="18" bestFit="1" customWidth="1"/>
    <col min="2314" max="2314" width="8" style="18" bestFit="1" customWidth="1"/>
    <col min="2315" max="2315" width="8.28515625" style="18" customWidth="1"/>
    <col min="2316" max="2317" width="10.42578125" style="18" bestFit="1" customWidth="1"/>
    <col min="2318" max="2318" width="13.140625" style="18" bestFit="1" customWidth="1"/>
    <col min="2319" max="2560" width="9.140625" style="18"/>
    <col min="2561" max="2561" width="9.140625" style="18" customWidth="1"/>
    <col min="2562" max="2562" width="25.85546875" style="18" customWidth="1"/>
    <col min="2563" max="2563" width="5.7109375" style="18" bestFit="1" customWidth="1"/>
    <col min="2564" max="2564" width="7.140625" style="18" bestFit="1" customWidth="1"/>
    <col min="2565" max="2565" width="7.28515625" style="18" bestFit="1" customWidth="1"/>
    <col min="2566" max="2566" width="6.140625" style="18" bestFit="1" customWidth="1"/>
    <col min="2567" max="2569" width="7.28515625" style="18" bestFit="1" customWidth="1"/>
    <col min="2570" max="2570" width="8" style="18" bestFit="1" customWidth="1"/>
    <col min="2571" max="2571" width="8.28515625" style="18" customWidth="1"/>
    <col min="2572" max="2573" width="10.42578125" style="18" bestFit="1" customWidth="1"/>
    <col min="2574" max="2574" width="13.140625" style="18" bestFit="1" customWidth="1"/>
    <col min="2575" max="2816" width="9.140625" style="18"/>
    <col min="2817" max="2817" width="9.140625" style="18" customWidth="1"/>
    <col min="2818" max="2818" width="25.85546875" style="18" customWidth="1"/>
    <col min="2819" max="2819" width="5.7109375" style="18" bestFit="1" customWidth="1"/>
    <col min="2820" max="2820" width="7.140625" style="18" bestFit="1" customWidth="1"/>
    <col min="2821" max="2821" width="7.28515625" style="18" bestFit="1" customWidth="1"/>
    <col min="2822" max="2822" width="6.140625" style="18" bestFit="1" customWidth="1"/>
    <col min="2823" max="2825" width="7.28515625" style="18" bestFit="1" customWidth="1"/>
    <col min="2826" max="2826" width="8" style="18" bestFit="1" customWidth="1"/>
    <col min="2827" max="2827" width="8.28515625" style="18" customWidth="1"/>
    <col min="2828" max="2829" width="10.42578125" style="18" bestFit="1" customWidth="1"/>
    <col min="2830" max="2830" width="13.140625" style="18" bestFit="1" customWidth="1"/>
    <col min="2831" max="3072" width="9.140625" style="18"/>
    <col min="3073" max="3073" width="9.140625" style="18" customWidth="1"/>
    <col min="3074" max="3074" width="25.85546875" style="18" customWidth="1"/>
    <col min="3075" max="3075" width="5.7109375" style="18" bestFit="1" customWidth="1"/>
    <col min="3076" max="3076" width="7.140625" style="18" bestFit="1" customWidth="1"/>
    <col min="3077" max="3077" width="7.28515625" style="18" bestFit="1" customWidth="1"/>
    <col min="3078" max="3078" width="6.140625" style="18" bestFit="1" customWidth="1"/>
    <col min="3079" max="3081" width="7.28515625" style="18" bestFit="1" customWidth="1"/>
    <col min="3082" max="3082" width="8" style="18" bestFit="1" customWidth="1"/>
    <col min="3083" max="3083" width="8.28515625" style="18" customWidth="1"/>
    <col min="3084" max="3085" width="10.42578125" style="18" bestFit="1" customWidth="1"/>
    <col min="3086" max="3086" width="13.140625" style="18" bestFit="1" customWidth="1"/>
    <col min="3087" max="3328" width="9.140625" style="18"/>
    <col min="3329" max="3329" width="9.140625" style="18" customWidth="1"/>
    <col min="3330" max="3330" width="25.85546875" style="18" customWidth="1"/>
    <col min="3331" max="3331" width="5.7109375" style="18" bestFit="1" customWidth="1"/>
    <col min="3332" max="3332" width="7.140625" style="18" bestFit="1" customWidth="1"/>
    <col min="3333" max="3333" width="7.28515625" style="18" bestFit="1" customWidth="1"/>
    <col min="3334" max="3334" width="6.140625" style="18" bestFit="1" customWidth="1"/>
    <col min="3335" max="3337" width="7.28515625" style="18" bestFit="1" customWidth="1"/>
    <col min="3338" max="3338" width="8" style="18" bestFit="1" customWidth="1"/>
    <col min="3339" max="3339" width="8.28515625" style="18" customWidth="1"/>
    <col min="3340" max="3341" width="10.42578125" style="18" bestFit="1" customWidth="1"/>
    <col min="3342" max="3342" width="13.140625" style="18" bestFit="1" customWidth="1"/>
    <col min="3343" max="3584" width="9.140625" style="18"/>
    <col min="3585" max="3585" width="9.140625" style="18" customWidth="1"/>
    <col min="3586" max="3586" width="25.85546875" style="18" customWidth="1"/>
    <col min="3587" max="3587" width="5.7109375" style="18" bestFit="1" customWidth="1"/>
    <col min="3588" max="3588" width="7.140625" style="18" bestFit="1" customWidth="1"/>
    <col min="3589" max="3589" width="7.28515625" style="18" bestFit="1" customWidth="1"/>
    <col min="3590" max="3590" width="6.140625" style="18" bestFit="1" customWidth="1"/>
    <col min="3591" max="3593" width="7.28515625" style="18" bestFit="1" customWidth="1"/>
    <col min="3594" max="3594" width="8" style="18" bestFit="1" customWidth="1"/>
    <col min="3595" max="3595" width="8.28515625" style="18" customWidth="1"/>
    <col min="3596" max="3597" width="10.42578125" style="18" bestFit="1" customWidth="1"/>
    <col min="3598" max="3598" width="13.140625" style="18" bestFit="1" customWidth="1"/>
    <col min="3599" max="3840" width="9.140625" style="18"/>
    <col min="3841" max="3841" width="9.140625" style="18" customWidth="1"/>
    <col min="3842" max="3842" width="25.85546875" style="18" customWidth="1"/>
    <col min="3843" max="3843" width="5.7109375" style="18" bestFit="1" customWidth="1"/>
    <col min="3844" max="3844" width="7.140625" style="18" bestFit="1" customWidth="1"/>
    <col min="3845" max="3845" width="7.28515625" style="18" bestFit="1" customWidth="1"/>
    <col min="3846" max="3846" width="6.140625" style="18" bestFit="1" customWidth="1"/>
    <col min="3847" max="3849" width="7.28515625" style="18" bestFit="1" customWidth="1"/>
    <col min="3850" max="3850" width="8" style="18" bestFit="1" customWidth="1"/>
    <col min="3851" max="3851" width="8.28515625" style="18" customWidth="1"/>
    <col min="3852" max="3853" width="10.42578125" style="18" bestFit="1" customWidth="1"/>
    <col min="3854" max="3854" width="13.140625" style="18" bestFit="1" customWidth="1"/>
    <col min="3855" max="4096" width="9.140625" style="18"/>
    <col min="4097" max="4097" width="9.140625" style="18" customWidth="1"/>
    <col min="4098" max="4098" width="25.85546875" style="18" customWidth="1"/>
    <col min="4099" max="4099" width="5.7109375" style="18" bestFit="1" customWidth="1"/>
    <col min="4100" max="4100" width="7.140625" style="18" bestFit="1" customWidth="1"/>
    <col min="4101" max="4101" width="7.28515625" style="18" bestFit="1" customWidth="1"/>
    <col min="4102" max="4102" width="6.140625" style="18" bestFit="1" customWidth="1"/>
    <col min="4103" max="4105" width="7.28515625" style="18" bestFit="1" customWidth="1"/>
    <col min="4106" max="4106" width="8" style="18" bestFit="1" customWidth="1"/>
    <col min="4107" max="4107" width="8.28515625" style="18" customWidth="1"/>
    <col min="4108" max="4109" width="10.42578125" style="18" bestFit="1" customWidth="1"/>
    <col min="4110" max="4110" width="13.140625" style="18" bestFit="1" customWidth="1"/>
    <col min="4111" max="4352" width="9.140625" style="18"/>
    <col min="4353" max="4353" width="9.140625" style="18" customWidth="1"/>
    <col min="4354" max="4354" width="25.85546875" style="18" customWidth="1"/>
    <col min="4355" max="4355" width="5.7109375" style="18" bestFit="1" customWidth="1"/>
    <col min="4356" max="4356" width="7.140625" style="18" bestFit="1" customWidth="1"/>
    <col min="4357" max="4357" width="7.28515625" style="18" bestFit="1" customWidth="1"/>
    <col min="4358" max="4358" width="6.140625" style="18" bestFit="1" customWidth="1"/>
    <col min="4359" max="4361" width="7.28515625" style="18" bestFit="1" customWidth="1"/>
    <col min="4362" max="4362" width="8" style="18" bestFit="1" customWidth="1"/>
    <col min="4363" max="4363" width="8.28515625" style="18" customWidth="1"/>
    <col min="4364" max="4365" width="10.42578125" style="18" bestFit="1" customWidth="1"/>
    <col min="4366" max="4366" width="13.140625" style="18" bestFit="1" customWidth="1"/>
    <col min="4367" max="4608" width="9.140625" style="18"/>
    <col min="4609" max="4609" width="9.140625" style="18" customWidth="1"/>
    <col min="4610" max="4610" width="25.85546875" style="18" customWidth="1"/>
    <col min="4611" max="4611" width="5.7109375" style="18" bestFit="1" customWidth="1"/>
    <col min="4612" max="4612" width="7.140625" style="18" bestFit="1" customWidth="1"/>
    <col min="4613" max="4613" width="7.28515625" style="18" bestFit="1" customWidth="1"/>
    <col min="4614" max="4614" width="6.140625" style="18" bestFit="1" customWidth="1"/>
    <col min="4615" max="4617" width="7.28515625" style="18" bestFit="1" customWidth="1"/>
    <col min="4618" max="4618" width="8" style="18" bestFit="1" customWidth="1"/>
    <col min="4619" max="4619" width="8.28515625" style="18" customWidth="1"/>
    <col min="4620" max="4621" width="10.42578125" style="18" bestFit="1" customWidth="1"/>
    <col min="4622" max="4622" width="13.140625" style="18" bestFit="1" customWidth="1"/>
    <col min="4623" max="4864" width="9.140625" style="18"/>
    <col min="4865" max="4865" width="9.140625" style="18" customWidth="1"/>
    <col min="4866" max="4866" width="25.85546875" style="18" customWidth="1"/>
    <col min="4867" max="4867" width="5.7109375" style="18" bestFit="1" customWidth="1"/>
    <col min="4868" max="4868" width="7.140625" style="18" bestFit="1" customWidth="1"/>
    <col min="4869" max="4869" width="7.28515625" style="18" bestFit="1" customWidth="1"/>
    <col min="4870" max="4870" width="6.140625" style="18" bestFit="1" customWidth="1"/>
    <col min="4871" max="4873" width="7.28515625" style="18" bestFit="1" customWidth="1"/>
    <col min="4874" max="4874" width="8" style="18" bestFit="1" customWidth="1"/>
    <col min="4875" max="4875" width="8.28515625" style="18" customWidth="1"/>
    <col min="4876" max="4877" width="10.42578125" style="18" bestFit="1" customWidth="1"/>
    <col min="4878" max="4878" width="13.140625" style="18" bestFit="1" customWidth="1"/>
    <col min="4879" max="5120" width="9.140625" style="18"/>
    <col min="5121" max="5121" width="9.140625" style="18" customWidth="1"/>
    <col min="5122" max="5122" width="25.85546875" style="18" customWidth="1"/>
    <col min="5123" max="5123" width="5.7109375" style="18" bestFit="1" customWidth="1"/>
    <col min="5124" max="5124" width="7.140625" style="18" bestFit="1" customWidth="1"/>
    <col min="5125" max="5125" width="7.28515625" style="18" bestFit="1" customWidth="1"/>
    <col min="5126" max="5126" width="6.140625" style="18" bestFit="1" customWidth="1"/>
    <col min="5127" max="5129" width="7.28515625" style="18" bestFit="1" customWidth="1"/>
    <col min="5130" max="5130" width="8" style="18" bestFit="1" customWidth="1"/>
    <col min="5131" max="5131" width="8.28515625" style="18" customWidth="1"/>
    <col min="5132" max="5133" width="10.42578125" style="18" bestFit="1" customWidth="1"/>
    <col min="5134" max="5134" width="13.140625" style="18" bestFit="1" customWidth="1"/>
    <col min="5135" max="5376" width="9.140625" style="18"/>
    <col min="5377" max="5377" width="9.140625" style="18" customWidth="1"/>
    <col min="5378" max="5378" width="25.85546875" style="18" customWidth="1"/>
    <col min="5379" max="5379" width="5.7109375" style="18" bestFit="1" customWidth="1"/>
    <col min="5380" max="5380" width="7.140625" style="18" bestFit="1" customWidth="1"/>
    <col min="5381" max="5381" width="7.28515625" style="18" bestFit="1" customWidth="1"/>
    <col min="5382" max="5382" width="6.140625" style="18" bestFit="1" customWidth="1"/>
    <col min="5383" max="5385" width="7.28515625" style="18" bestFit="1" customWidth="1"/>
    <col min="5386" max="5386" width="8" style="18" bestFit="1" customWidth="1"/>
    <col min="5387" max="5387" width="8.28515625" style="18" customWidth="1"/>
    <col min="5388" max="5389" width="10.42578125" style="18" bestFit="1" customWidth="1"/>
    <col min="5390" max="5390" width="13.140625" style="18" bestFit="1" customWidth="1"/>
    <col min="5391" max="5632" width="9.140625" style="18"/>
    <col min="5633" max="5633" width="9.140625" style="18" customWidth="1"/>
    <col min="5634" max="5634" width="25.85546875" style="18" customWidth="1"/>
    <col min="5635" max="5635" width="5.7109375" style="18" bestFit="1" customWidth="1"/>
    <col min="5636" max="5636" width="7.140625" style="18" bestFit="1" customWidth="1"/>
    <col min="5637" max="5637" width="7.28515625" style="18" bestFit="1" customWidth="1"/>
    <col min="5638" max="5638" width="6.140625" style="18" bestFit="1" customWidth="1"/>
    <col min="5639" max="5641" width="7.28515625" style="18" bestFit="1" customWidth="1"/>
    <col min="5642" max="5642" width="8" style="18" bestFit="1" customWidth="1"/>
    <col min="5643" max="5643" width="8.28515625" style="18" customWidth="1"/>
    <col min="5644" max="5645" width="10.42578125" style="18" bestFit="1" customWidth="1"/>
    <col min="5646" max="5646" width="13.140625" style="18" bestFit="1" customWidth="1"/>
    <col min="5647" max="5888" width="9.140625" style="18"/>
    <col min="5889" max="5889" width="9.140625" style="18" customWidth="1"/>
    <col min="5890" max="5890" width="25.85546875" style="18" customWidth="1"/>
    <col min="5891" max="5891" width="5.7109375" style="18" bestFit="1" customWidth="1"/>
    <col min="5892" max="5892" width="7.140625" style="18" bestFit="1" customWidth="1"/>
    <col min="5893" max="5893" width="7.28515625" style="18" bestFit="1" customWidth="1"/>
    <col min="5894" max="5894" width="6.140625" style="18" bestFit="1" customWidth="1"/>
    <col min="5895" max="5897" width="7.28515625" style="18" bestFit="1" customWidth="1"/>
    <col min="5898" max="5898" width="8" style="18" bestFit="1" customWidth="1"/>
    <col min="5899" max="5899" width="8.28515625" style="18" customWidth="1"/>
    <col min="5900" max="5901" width="10.42578125" style="18" bestFit="1" customWidth="1"/>
    <col min="5902" max="5902" width="13.140625" style="18" bestFit="1" customWidth="1"/>
    <col min="5903" max="6144" width="9.140625" style="18"/>
    <col min="6145" max="6145" width="9.140625" style="18" customWidth="1"/>
    <col min="6146" max="6146" width="25.85546875" style="18" customWidth="1"/>
    <col min="6147" max="6147" width="5.7109375" style="18" bestFit="1" customWidth="1"/>
    <col min="6148" max="6148" width="7.140625" style="18" bestFit="1" customWidth="1"/>
    <col min="6149" max="6149" width="7.28515625" style="18" bestFit="1" customWidth="1"/>
    <col min="6150" max="6150" width="6.140625" style="18" bestFit="1" customWidth="1"/>
    <col min="6151" max="6153" width="7.28515625" style="18" bestFit="1" customWidth="1"/>
    <col min="6154" max="6154" width="8" style="18" bestFit="1" customWidth="1"/>
    <col min="6155" max="6155" width="8.28515625" style="18" customWidth="1"/>
    <col min="6156" max="6157" width="10.42578125" style="18" bestFit="1" customWidth="1"/>
    <col min="6158" max="6158" width="13.140625" style="18" bestFit="1" customWidth="1"/>
    <col min="6159" max="6400" width="9.140625" style="18"/>
    <col min="6401" max="6401" width="9.140625" style="18" customWidth="1"/>
    <col min="6402" max="6402" width="25.85546875" style="18" customWidth="1"/>
    <col min="6403" max="6403" width="5.7109375" style="18" bestFit="1" customWidth="1"/>
    <col min="6404" max="6404" width="7.140625" style="18" bestFit="1" customWidth="1"/>
    <col min="6405" max="6405" width="7.28515625" style="18" bestFit="1" customWidth="1"/>
    <col min="6406" max="6406" width="6.140625" style="18" bestFit="1" customWidth="1"/>
    <col min="6407" max="6409" width="7.28515625" style="18" bestFit="1" customWidth="1"/>
    <col min="6410" max="6410" width="8" style="18" bestFit="1" customWidth="1"/>
    <col min="6411" max="6411" width="8.28515625" style="18" customWidth="1"/>
    <col min="6412" max="6413" width="10.42578125" style="18" bestFit="1" customWidth="1"/>
    <col min="6414" max="6414" width="13.140625" style="18" bestFit="1" customWidth="1"/>
    <col min="6415" max="6656" width="9.140625" style="18"/>
    <col min="6657" max="6657" width="9.140625" style="18" customWidth="1"/>
    <col min="6658" max="6658" width="25.85546875" style="18" customWidth="1"/>
    <col min="6659" max="6659" width="5.7109375" style="18" bestFit="1" customWidth="1"/>
    <col min="6660" max="6660" width="7.140625" style="18" bestFit="1" customWidth="1"/>
    <col min="6661" max="6661" width="7.28515625" style="18" bestFit="1" customWidth="1"/>
    <col min="6662" max="6662" width="6.140625" style="18" bestFit="1" customWidth="1"/>
    <col min="6663" max="6665" width="7.28515625" style="18" bestFit="1" customWidth="1"/>
    <col min="6666" max="6666" width="8" style="18" bestFit="1" customWidth="1"/>
    <col min="6667" max="6667" width="8.28515625" style="18" customWidth="1"/>
    <col min="6668" max="6669" width="10.42578125" style="18" bestFit="1" customWidth="1"/>
    <col min="6670" max="6670" width="13.140625" style="18" bestFit="1" customWidth="1"/>
    <col min="6671" max="6912" width="9.140625" style="18"/>
    <col min="6913" max="6913" width="9.140625" style="18" customWidth="1"/>
    <col min="6914" max="6914" width="25.85546875" style="18" customWidth="1"/>
    <col min="6915" max="6915" width="5.7109375" style="18" bestFit="1" customWidth="1"/>
    <col min="6916" max="6916" width="7.140625" style="18" bestFit="1" customWidth="1"/>
    <col min="6917" max="6917" width="7.28515625" style="18" bestFit="1" customWidth="1"/>
    <col min="6918" max="6918" width="6.140625" style="18" bestFit="1" customWidth="1"/>
    <col min="6919" max="6921" width="7.28515625" style="18" bestFit="1" customWidth="1"/>
    <col min="6922" max="6922" width="8" style="18" bestFit="1" customWidth="1"/>
    <col min="6923" max="6923" width="8.28515625" style="18" customWidth="1"/>
    <col min="6924" max="6925" width="10.42578125" style="18" bestFit="1" customWidth="1"/>
    <col min="6926" max="6926" width="13.140625" style="18" bestFit="1" customWidth="1"/>
    <col min="6927" max="7168" width="9.140625" style="18"/>
    <col min="7169" max="7169" width="9.140625" style="18" customWidth="1"/>
    <col min="7170" max="7170" width="25.85546875" style="18" customWidth="1"/>
    <col min="7171" max="7171" width="5.7109375" style="18" bestFit="1" customWidth="1"/>
    <col min="7172" max="7172" width="7.140625" style="18" bestFit="1" customWidth="1"/>
    <col min="7173" max="7173" width="7.28515625" style="18" bestFit="1" customWidth="1"/>
    <col min="7174" max="7174" width="6.140625" style="18" bestFit="1" customWidth="1"/>
    <col min="7175" max="7177" width="7.28515625" style="18" bestFit="1" customWidth="1"/>
    <col min="7178" max="7178" width="8" style="18" bestFit="1" customWidth="1"/>
    <col min="7179" max="7179" width="8.28515625" style="18" customWidth="1"/>
    <col min="7180" max="7181" width="10.42578125" style="18" bestFit="1" customWidth="1"/>
    <col min="7182" max="7182" width="13.140625" style="18" bestFit="1" customWidth="1"/>
    <col min="7183" max="7424" width="9.140625" style="18"/>
    <col min="7425" max="7425" width="9.140625" style="18" customWidth="1"/>
    <col min="7426" max="7426" width="25.85546875" style="18" customWidth="1"/>
    <col min="7427" max="7427" width="5.7109375" style="18" bestFit="1" customWidth="1"/>
    <col min="7428" max="7428" width="7.140625" style="18" bestFit="1" customWidth="1"/>
    <col min="7429" max="7429" width="7.28515625" style="18" bestFit="1" customWidth="1"/>
    <col min="7430" max="7430" width="6.140625" style="18" bestFit="1" customWidth="1"/>
    <col min="7431" max="7433" width="7.28515625" style="18" bestFit="1" customWidth="1"/>
    <col min="7434" max="7434" width="8" style="18" bestFit="1" customWidth="1"/>
    <col min="7435" max="7435" width="8.28515625" style="18" customWidth="1"/>
    <col min="7436" max="7437" width="10.42578125" style="18" bestFit="1" customWidth="1"/>
    <col min="7438" max="7438" width="13.140625" style="18" bestFit="1" customWidth="1"/>
    <col min="7439" max="7680" width="9.140625" style="18"/>
    <col min="7681" max="7681" width="9.140625" style="18" customWidth="1"/>
    <col min="7682" max="7682" width="25.85546875" style="18" customWidth="1"/>
    <col min="7683" max="7683" width="5.7109375" style="18" bestFit="1" customWidth="1"/>
    <col min="7684" max="7684" width="7.140625" style="18" bestFit="1" customWidth="1"/>
    <col min="7685" max="7685" width="7.28515625" style="18" bestFit="1" customWidth="1"/>
    <col min="7686" max="7686" width="6.140625" style="18" bestFit="1" customWidth="1"/>
    <col min="7687" max="7689" width="7.28515625" style="18" bestFit="1" customWidth="1"/>
    <col min="7690" max="7690" width="8" style="18" bestFit="1" customWidth="1"/>
    <col min="7691" max="7691" width="8.28515625" style="18" customWidth="1"/>
    <col min="7692" max="7693" width="10.42578125" style="18" bestFit="1" customWidth="1"/>
    <col min="7694" max="7694" width="13.140625" style="18" bestFit="1" customWidth="1"/>
    <col min="7695" max="7936" width="9.140625" style="18"/>
    <col min="7937" max="7937" width="9.140625" style="18" customWidth="1"/>
    <col min="7938" max="7938" width="25.85546875" style="18" customWidth="1"/>
    <col min="7939" max="7939" width="5.7109375" style="18" bestFit="1" customWidth="1"/>
    <col min="7940" max="7940" width="7.140625" style="18" bestFit="1" customWidth="1"/>
    <col min="7941" max="7941" width="7.28515625" style="18" bestFit="1" customWidth="1"/>
    <col min="7942" max="7942" width="6.140625" style="18" bestFit="1" customWidth="1"/>
    <col min="7943" max="7945" width="7.28515625" style="18" bestFit="1" customWidth="1"/>
    <col min="7946" max="7946" width="8" style="18" bestFit="1" customWidth="1"/>
    <col min="7947" max="7947" width="8.28515625" style="18" customWidth="1"/>
    <col min="7948" max="7949" width="10.42578125" style="18" bestFit="1" customWidth="1"/>
    <col min="7950" max="7950" width="13.140625" style="18" bestFit="1" customWidth="1"/>
    <col min="7951" max="8192" width="9.140625" style="18"/>
    <col min="8193" max="8193" width="9.140625" style="18" customWidth="1"/>
    <col min="8194" max="8194" width="25.85546875" style="18" customWidth="1"/>
    <col min="8195" max="8195" width="5.7109375" style="18" bestFit="1" customWidth="1"/>
    <col min="8196" max="8196" width="7.140625" style="18" bestFit="1" customWidth="1"/>
    <col min="8197" max="8197" width="7.28515625" style="18" bestFit="1" customWidth="1"/>
    <col min="8198" max="8198" width="6.140625" style="18" bestFit="1" customWidth="1"/>
    <col min="8199" max="8201" width="7.28515625" style="18" bestFit="1" customWidth="1"/>
    <col min="8202" max="8202" width="8" style="18" bestFit="1" customWidth="1"/>
    <col min="8203" max="8203" width="8.28515625" style="18" customWidth="1"/>
    <col min="8204" max="8205" width="10.42578125" style="18" bestFit="1" customWidth="1"/>
    <col min="8206" max="8206" width="13.140625" style="18" bestFit="1" customWidth="1"/>
    <col min="8207" max="8448" width="9.140625" style="18"/>
    <col min="8449" max="8449" width="9.140625" style="18" customWidth="1"/>
    <col min="8450" max="8450" width="25.85546875" style="18" customWidth="1"/>
    <col min="8451" max="8451" width="5.7109375" style="18" bestFit="1" customWidth="1"/>
    <col min="8452" max="8452" width="7.140625" style="18" bestFit="1" customWidth="1"/>
    <col min="8453" max="8453" width="7.28515625" style="18" bestFit="1" customWidth="1"/>
    <col min="8454" max="8454" width="6.140625" style="18" bestFit="1" customWidth="1"/>
    <col min="8455" max="8457" width="7.28515625" style="18" bestFit="1" customWidth="1"/>
    <col min="8458" max="8458" width="8" style="18" bestFit="1" customWidth="1"/>
    <col min="8459" max="8459" width="8.28515625" style="18" customWidth="1"/>
    <col min="8460" max="8461" width="10.42578125" style="18" bestFit="1" customWidth="1"/>
    <col min="8462" max="8462" width="13.140625" style="18" bestFit="1" customWidth="1"/>
    <col min="8463" max="8704" width="9.140625" style="18"/>
    <col min="8705" max="8705" width="9.140625" style="18" customWidth="1"/>
    <col min="8706" max="8706" width="25.85546875" style="18" customWidth="1"/>
    <col min="8707" max="8707" width="5.7109375" style="18" bestFit="1" customWidth="1"/>
    <col min="8708" max="8708" width="7.140625" style="18" bestFit="1" customWidth="1"/>
    <col min="8709" max="8709" width="7.28515625" style="18" bestFit="1" customWidth="1"/>
    <col min="8710" max="8710" width="6.140625" style="18" bestFit="1" customWidth="1"/>
    <col min="8711" max="8713" width="7.28515625" style="18" bestFit="1" customWidth="1"/>
    <col min="8714" max="8714" width="8" style="18" bestFit="1" customWidth="1"/>
    <col min="8715" max="8715" width="8.28515625" style="18" customWidth="1"/>
    <col min="8716" max="8717" width="10.42578125" style="18" bestFit="1" customWidth="1"/>
    <col min="8718" max="8718" width="13.140625" style="18" bestFit="1" customWidth="1"/>
    <col min="8719" max="8960" width="9.140625" style="18"/>
    <col min="8961" max="8961" width="9.140625" style="18" customWidth="1"/>
    <col min="8962" max="8962" width="25.85546875" style="18" customWidth="1"/>
    <col min="8963" max="8963" width="5.7109375" style="18" bestFit="1" customWidth="1"/>
    <col min="8964" max="8964" width="7.140625" style="18" bestFit="1" customWidth="1"/>
    <col min="8965" max="8965" width="7.28515625" style="18" bestFit="1" customWidth="1"/>
    <col min="8966" max="8966" width="6.140625" style="18" bestFit="1" customWidth="1"/>
    <col min="8967" max="8969" width="7.28515625" style="18" bestFit="1" customWidth="1"/>
    <col min="8970" max="8970" width="8" style="18" bestFit="1" customWidth="1"/>
    <col min="8971" max="8971" width="8.28515625" style="18" customWidth="1"/>
    <col min="8972" max="8973" width="10.42578125" style="18" bestFit="1" customWidth="1"/>
    <col min="8974" max="8974" width="13.140625" style="18" bestFit="1" customWidth="1"/>
    <col min="8975" max="9216" width="9.140625" style="18"/>
    <col min="9217" max="9217" width="9.140625" style="18" customWidth="1"/>
    <col min="9218" max="9218" width="25.85546875" style="18" customWidth="1"/>
    <col min="9219" max="9219" width="5.7109375" style="18" bestFit="1" customWidth="1"/>
    <col min="9220" max="9220" width="7.140625" style="18" bestFit="1" customWidth="1"/>
    <col min="9221" max="9221" width="7.28515625" style="18" bestFit="1" customWidth="1"/>
    <col min="9222" max="9222" width="6.140625" style="18" bestFit="1" customWidth="1"/>
    <col min="9223" max="9225" width="7.28515625" style="18" bestFit="1" customWidth="1"/>
    <col min="9226" max="9226" width="8" style="18" bestFit="1" customWidth="1"/>
    <col min="9227" max="9227" width="8.28515625" style="18" customWidth="1"/>
    <col min="9228" max="9229" width="10.42578125" style="18" bestFit="1" customWidth="1"/>
    <col min="9230" max="9230" width="13.140625" style="18" bestFit="1" customWidth="1"/>
    <col min="9231" max="9472" width="9.140625" style="18"/>
    <col min="9473" max="9473" width="9.140625" style="18" customWidth="1"/>
    <col min="9474" max="9474" width="25.85546875" style="18" customWidth="1"/>
    <col min="9475" max="9475" width="5.7109375" style="18" bestFit="1" customWidth="1"/>
    <col min="9476" max="9476" width="7.140625" style="18" bestFit="1" customWidth="1"/>
    <col min="9477" max="9477" width="7.28515625" style="18" bestFit="1" customWidth="1"/>
    <col min="9478" max="9478" width="6.140625" style="18" bestFit="1" customWidth="1"/>
    <col min="9479" max="9481" width="7.28515625" style="18" bestFit="1" customWidth="1"/>
    <col min="9482" max="9482" width="8" style="18" bestFit="1" customWidth="1"/>
    <col min="9483" max="9483" width="8.28515625" style="18" customWidth="1"/>
    <col min="9484" max="9485" width="10.42578125" style="18" bestFit="1" customWidth="1"/>
    <col min="9486" max="9486" width="13.140625" style="18" bestFit="1" customWidth="1"/>
    <col min="9487" max="9728" width="9.140625" style="18"/>
    <col min="9729" max="9729" width="9.140625" style="18" customWidth="1"/>
    <col min="9730" max="9730" width="25.85546875" style="18" customWidth="1"/>
    <col min="9731" max="9731" width="5.7109375" style="18" bestFit="1" customWidth="1"/>
    <col min="9732" max="9732" width="7.140625" style="18" bestFit="1" customWidth="1"/>
    <col min="9733" max="9733" width="7.28515625" style="18" bestFit="1" customWidth="1"/>
    <col min="9734" max="9734" width="6.140625" style="18" bestFit="1" customWidth="1"/>
    <col min="9735" max="9737" width="7.28515625" style="18" bestFit="1" customWidth="1"/>
    <col min="9738" max="9738" width="8" style="18" bestFit="1" customWidth="1"/>
    <col min="9739" max="9739" width="8.28515625" style="18" customWidth="1"/>
    <col min="9740" max="9741" width="10.42578125" style="18" bestFit="1" customWidth="1"/>
    <col min="9742" max="9742" width="13.140625" style="18" bestFit="1" customWidth="1"/>
    <col min="9743" max="9984" width="9.140625" style="18"/>
    <col min="9985" max="9985" width="9.140625" style="18" customWidth="1"/>
    <col min="9986" max="9986" width="25.85546875" style="18" customWidth="1"/>
    <col min="9987" max="9987" width="5.7109375" style="18" bestFit="1" customWidth="1"/>
    <col min="9988" max="9988" width="7.140625" style="18" bestFit="1" customWidth="1"/>
    <col min="9989" max="9989" width="7.28515625" style="18" bestFit="1" customWidth="1"/>
    <col min="9990" max="9990" width="6.140625" style="18" bestFit="1" customWidth="1"/>
    <col min="9991" max="9993" width="7.28515625" style="18" bestFit="1" customWidth="1"/>
    <col min="9994" max="9994" width="8" style="18" bestFit="1" customWidth="1"/>
    <col min="9995" max="9995" width="8.28515625" style="18" customWidth="1"/>
    <col min="9996" max="9997" width="10.42578125" style="18" bestFit="1" customWidth="1"/>
    <col min="9998" max="9998" width="13.140625" style="18" bestFit="1" customWidth="1"/>
    <col min="9999" max="10240" width="9.140625" style="18"/>
    <col min="10241" max="10241" width="9.140625" style="18" customWidth="1"/>
    <col min="10242" max="10242" width="25.85546875" style="18" customWidth="1"/>
    <col min="10243" max="10243" width="5.7109375" style="18" bestFit="1" customWidth="1"/>
    <col min="10244" max="10244" width="7.140625" style="18" bestFit="1" customWidth="1"/>
    <col min="10245" max="10245" width="7.28515625" style="18" bestFit="1" customWidth="1"/>
    <col min="10246" max="10246" width="6.140625" style="18" bestFit="1" customWidth="1"/>
    <col min="10247" max="10249" width="7.28515625" style="18" bestFit="1" customWidth="1"/>
    <col min="10250" max="10250" width="8" style="18" bestFit="1" customWidth="1"/>
    <col min="10251" max="10251" width="8.28515625" style="18" customWidth="1"/>
    <col min="10252" max="10253" width="10.42578125" style="18" bestFit="1" customWidth="1"/>
    <col min="10254" max="10254" width="13.140625" style="18" bestFit="1" customWidth="1"/>
    <col min="10255" max="10496" width="9.140625" style="18"/>
    <col min="10497" max="10497" width="9.140625" style="18" customWidth="1"/>
    <col min="10498" max="10498" width="25.85546875" style="18" customWidth="1"/>
    <col min="10499" max="10499" width="5.7109375" style="18" bestFit="1" customWidth="1"/>
    <col min="10500" max="10500" width="7.140625" style="18" bestFit="1" customWidth="1"/>
    <col min="10501" max="10501" width="7.28515625" style="18" bestFit="1" customWidth="1"/>
    <col min="10502" max="10502" width="6.140625" style="18" bestFit="1" customWidth="1"/>
    <col min="10503" max="10505" width="7.28515625" style="18" bestFit="1" customWidth="1"/>
    <col min="10506" max="10506" width="8" style="18" bestFit="1" customWidth="1"/>
    <col min="10507" max="10507" width="8.28515625" style="18" customWidth="1"/>
    <col min="10508" max="10509" width="10.42578125" style="18" bestFit="1" customWidth="1"/>
    <col min="10510" max="10510" width="13.140625" style="18" bestFit="1" customWidth="1"/>
    <col min="10511" max="10752" width="9.140625" style="18"/>
    <col min="10753" max="10753" width="9.140625" style="18" customWidth="1"/>
    <col min="10754" max="10754" width="25.85546875" style="18" customWidth="1"/>
    <col min="10755" max="10755" width="5.7109375" style="18" bestFit="1" customWidth="1"/>
    <col min="10756" max="10756" width="7.140625" style="18" bestFit="1" customWidth="1"/>
    <col min="10757" max="10757" width="7.28515625" style="18" bestFit="1" customWidth="1"/>
    <col min="10758" max="10758" width="6.140625" style="18" bestFit="1" customWidth="1"/>
    <col min="10759" max="10761" width="7.28515625" style="18" bestFit="1" customWidth="1"/>
    <col min="10762" max="10762" width="8" style="18" bestFit="1" customWidth="1"/>
    <col min="10763" max="10763" width="8.28515625" style="18" customWidth="1"/>
    <col min="10764" max="10765" width="10.42578125" style="18" bestFit="1" customWidth="1"/>
    <col min="10766" max="10766" width="13.140625" style="18" bestFit="1" customWidth="1"/>
    <col min="10767" max="11008" width="9.140625" style="18"/>
    <col min="11009" max="11009" width="9.140625" style="18" customWidth="1"/>
    <col min="11010" max="11010" width="25.85546875" style="18" customWidth="1"/>
    <col min="11011" max="11011" width="5.7109375" style="18" bestFit="1" customWidth="1"/>
    <col min="11012" max="11012" width="7.140625" style="18" bestFit="1" customWidth="1"/>
    <col min="11013" max="11013" width="7.28515625" style="18" bestFit="1" customWidth="1"/>
    <col min="11014" max="11014" width="6.140625" style="18" bestFit="1" customWidth="1"/>
    <col min="11015" max="11017" width="7.28515625" style="18" bestFit="1" customWidth="1"/>
    <col min="11018" max="11018" width="8" style="18" bestFit="1" customWidth="1"/>
    <col min="11019" max="11019" width="8.28515625" style="18" customWidth="1"/>
    <col min="11020" max="11021" width="10.42578125" style="18" bestFit="1" customWidth="1"/>
    <col min="11022" max="11022" width="13.140625" style="18" bestFit="1" customWidth="1"/>
    <col min="11023" max="11264" width="9.140625" style="18"/>
    <col min="11265" max="11265" width="9.140625" style="18" customWidth="1"/>
    <col min="11266" max="11266" width="25.85546875" style="18" customWidth="1"/>
    <col min="11267" max="11267" width="5.7109375" style="18" bestFit="1" customWidth="1"/>
    <col min="11268" max="11268" width="7.140625" style="18" bestFit="1" customWidth="1"/>
    <col min="11269" max="11269" width="7.28515625" style="18" bestFit="1" customWidth="1"/>
    <col min="11270" max="11270" width="6.140625" style="18" bestFit="1" customWidth="1"/>
    <col min="11271" max="11273" width="7.28515625" style="18" bestFit="1" customWidth="1"/>
    <col min="11274" max="11274" width="8" style="18" bestFit="1" customWidth="1"/>
    <col min="11275" max="11275" width="8.28515625" style="18" customWidth="1"/>
    <col min="11276" max="11277" width="10.42578125" style="18" bestFit="1" customWidth="1"/>
    <col min="11278" max="11278" width="13.140625" style="18" bestFit="1" customWidth="1"/>
    <col min="11279" max="11520" width="9.140625" style="18"/>
    <col min="11521" max="11521" width="9.140625" style="18" customWidth="1"/>
    <col min="11522" max="11522" width="25.85546875" style="18" customWidth="1"/>
    <col min="11523" max="11523" width="5.7109375" style="18" bestFit="1" customWidth="1"/>
    <col min="11524" max="11524" width="7.140625" style="18" bestFit="1" customWidth="1"/>
    <col min="11525" max="11525" width="7.28515625" style="18" bestFit="1" customWidth="1"/>
    <col min="11526" max="11526" width="6.140625" style="18" bestFit="1" customWidth="1"/>
    <col min="11527" max="11529" width="7.28515625" style="18" bestFit="1" customWidth="1"/>
    <col min="11530" max="11530" width="8" style="18" bestFit="1" customWidth="1"/>
    <col min="11531" max="11531" width="8.28515625" style="18" customWidth="1"/>
    <col min="11532" max="11533" width="10.42578125" style="18" bestFit="1" customWidth="1"/>
    <col min="11534" max="11534" width="13.140625" style="18" bestFit="1" customWidth="1"/>
    <col min="11535" max="11776" width="9.140625" style="18"/>
    <col min="11777" max="11777" width="9.140625" style="18" customWidth="1"/>
    <col min="11778" max="11778" width="25.85546875" style="18" customWidth="1"/>
    <col min="11779" max="11779" width="5.7109375" style="18" bestFit="1" customWidth="1"/>
    <col min="11780" max="11780" width="7.140625" style="18" bestFit="1" customWidth="1"/>
    <col min="11781" max="11781" width="7.28515625" style="18" bestFit="1" customWidth="1"/>
    <col min="11782" max="11782" width="6.140625" style="18" bestFit="1" customWidth="1"/>
    <col min="11783" max="11785" width="7.28515625" style="18" bestFit="1" customWidth="1"/>
    <col min="11786" max="11786" width="8" style="18" bestFit="1" customWidth="1"/>
    <col min="11787" max="11787" width="8.28515625" style="18" customWidth="1"/>
    <col min="11788" max="11789" width="10.42578125" style="18" bestFit="1" customWidth="1"/>
    <col min="11790" max="11790" width="13.140625" style="18" bestFit="1" customWidth="1"/>
    <col min="11791" max="12032" width="9.140625" style="18"/>
    <col min="12033" max="12033" width="9.140625" style="18" customWidth="1"/>
    <col min="12034" max="12034" width="25.85546875" style="18" customWidth="1"/>
    <col min="12035" max="12035" width="5.7109375" style="18" bestFit="1" customWidth="1"/>
    <col min="12036" max="12036" width="7.140625" style="18" bestFit="1" customWidth="1"/>
    <col min="12037" max="12037" width="7.28515625" style="18" bestFit="1" customWidth="1"/>
    <col min="12038" max="12038" width="6.140625" style="18" bestFit="1" customWidth="1"/>
    <col min="12039" max="12041" width="7.28515625" style="18" bestFit="1" customWidth="1"/>
    <col min="12042" max="12042" width="8" style="18" bestFit="1" customWidth="1"/>
    <col min="12043" max="12043" width="8.28515625" style="18" customWidth="1"/>
    <col min="12044" max="12045" width="10.42578125" style="18" bestFit="1" customWidth="1"/>
    <col min="12046" max="12046" width="13.140625" style="18" bestFit="1" customWidth="1"/>
    <col min="12047" max="12288" width="9.140625" style="18"/>
    <col min="12289" max="12289" width="9.140625" style="18" customWidth="1"/>
    <col min="12290" max="12290" width="25.85546875" style="18" customWidth="1"/>
    <col min="12291" max="12291" width="5.7109375" style="18" bestFit="1" customWidth="1"/>
    <col min="12292" max="12292" width="7.140625" style="18" bestFit="1" customWidth="1"/>
    <col min="12293" max="12293" width="7.28515625" style="18" bestFit="1" customWidth="1"/>
    <col min="12294" max="12294" width="6.140625" style="18" bestFit="1" customWidth="1"/>
    <col min="12295" max="12297" width="7.28515625" style="18" bestFit="1" customWidth="1"/>
    <col min="12298" max="12298" width="8" style="18" bestFit="1" customWidth="1"/>
    <col min="12299" max="12299" width="8.28515625" style="18" customWidth="1"/>
    <col min="12300" max="12301" width="10.42578125" style="18" bestFit="1" customWidth="1"/>
    <col min="12302" max="12302" width="13.140625" style="18" bestFit="1" customWidth="1"/>
    <col min="12303" max="12544" width="9.140625" style="18"/>
    <col min="12545" max="12545" width="9.140625" style="18" customWidth="1"/>
    <col min="12546" max="12546" width="25.85546875" style="18" customWidth="1"/>
    <col min="12547" max="12547" width="5.7109375" style="18" bestFit="1" customWidth="1"/>
    <col min="12548" max="12548" width="7.140625" style="18" bestFit="1" customWidth="1"/>
    <col min="12549" max="12549" width="7.28515625" style="18" bestFit="1" customWidth="1"/>
    <col min="12550" max="12550" width="6.140625" style="18" bestFit="1" customWidth="1"/>
    <col min="12551" max="12553" width="7.28515625" style="18" bestFit="1" customWidth="1"/>
    <col min="12554" max="12554" width="8" style="18" bestFit="1" customWidth="1"/>
    <col min="12555" max="12555" width="8.28515625" style="18" customWidth="1"/>
    <col min="12556" max="12557" width="10.42578125" style="18" bestFit="1" customWidth="1"/>
    <col min="12558" max="12558" width="13.140625" style="18" bestFit="1" customWidth="1"/>
    <col min="12559" max="12800" width="9.140625" style="18"/>
    <col min="12801" max="12801" width="9.140625" style="18" customWidth="1"/>
    <col min="12802" max="12802" width="25.85546875" style="18" customWidth="1"/>
    <col min="12803" max="12803" width="5.7109375" style="18" bestFit="1" customWidth="1"/>
    <col min="12804" max="12804" width="7.140625" style="18" bestFit="1" customWidth="1"/>
    <col min="12805" max="12805" width="7.28515625" style="18" bestFit="1" customWidth="1"/>
    <col min="12806" max="12806" width="6.140625" style="18" bestFit="1" customWidth="1"/>
    <col min="12807" max="12809" width="7.28515625" style="18" bestFit="1" customWidth="1"/>
    <col min="12810" max="12810" width="8" style="18" bestFit="1" customWidth="1"/>
    <col min="12811" max="12811" width="8.28515625" style="18" customWidth="1"/>
    <col min="12812" max="12813" width="10.42578125" style="18" bestFit="1" customWidth="1"/>
    <col min="12814" max="12814" width="13.140625" style="18" bestFit="1" customWidth="1"/>
    <col min="12815" max="13056" width="9.140625" style="18"/>
    <col min="13057" max="13057" width="9.140625" style="18" customWidth="1"/>
    <col min="13058" max="13058" width="25.85546875" style="18" customWidth="1"/>
    <col min="13059" max="13059" width="5.7109375" style="18" bestFit="1" customWidth="1"/>
    <col min="13060" max="13060" width="7.140625" style="18" bestFit="1" customWidth="1"/>
    <col min="13061" max="13061" width="7.28515625" style="18" bestFit="1" customWidth="1"/>
    <col min="13062" max="13062" width="6.140625" style="18" bestFit="1" customWidth="1"/>
    <col min="13063" max="13065" width="7.28515625" style="18" bestFit="1" customWidth="1"/>
    <col min="13066" max="13066" width="8" style="18" bestFit="1" customWidth="1"/>
    <col min="13067" max="13067" width="8.28515625" style="18" customWidth="1"/>
    <col min="13068" max="13069" width="10.42578125" style="18" bestFit="1" customWidth="1"/>
    <col min="13070" max="13070" width="13.140625" style="18" bestFit="1" customWidth="1"/>
    <col min="13071" max="13312" width="9.140625" style="18"/>
    <col min="13313" max="13313" width="9.140625" style="18" customWidth="1"/>
    <col min="13314" max="13314" width="25.85546875" style="18" customWidth="1"/>
    <col min="13315" max="13315" width="5.7109375" style="18" bestFit="1" customWidth="1"/>
    <col min="13316" max="13316" width="7.140625" style="18" bestFit="1" customWidth="1"/>
    <col min="13317" max="13317" width="7.28515625" style="18" bestFit="1" customWidth="1"/>
    <col min="13318" max="13318" width="6.140625" style="18" bestFit="1" customWidth="1"/>
    <col min="13319" max="13321" width="7.28515625" style="18" bestFit="1" customWidth="1"/>
    <col min="13322" max="13322" width="8" style="18" bestFit="1" customWidth="1"/>
    <col min="13323" max="13323" width="8.28515625" style="18" customWidth="1"/>
    <col min="13324" max="13325" width="10.42578125" style="18" bestFit="1" customWidth="1"/>
    <col min="13326" max="13326" width="13.140625" style="18" bestFit="1" customWidth="1"/>
    <col min="13327" max="13568" width="9.140625" style="18"/>
    <col min="13569" max="13569" width="9.140625" style="18" customWidth="1"/>
    <col min="13570" max="13570" width="25.85546875" style="18" customWidth="1"/>
    <col min="13571" max="13571" width="5.7109375" style="18" bestFit="1" customWidth="1"/>
    <col min="13572" max="13572" width="7.140625" style="18" bestFit="1" customWidth="1"/>
    <col min="13573" max="13573" width="7.28515625" style="18" bestFit="1" customWidth="1"/>
    <col min="13574" max="13574" width="6.140625" style="18" bestFit="1" customWidth="1"/>
    <col min="13575" max="13577" width="7.28515625" style="18" bestFit="1" customWidth="1"/>
    <col min="13578" max="13578" width="8" style="18" bestFit="1" customWidth="1"/>
    <col min="13579" max="13579" width="8.28515625" style="18" customWidth="1"/>
    <col min="13580" max="13581" width="10.42578125" style="18" bestFit="1" customWidth="1"/>
    <col min="13582" max="13582" width="13.140625" style="18" bestFit="1" customWidth="1"/>
    <col min="13583" max="13824" width="9.140625" style="18"/>
    <col min="13825" max="13825" width="9.140625" style="18" customWidth="1"/>
    <col min="13826" max="13826" width="25.85546875" style="18" customWidth="1"/>
    <col min="13827" max="13827" width="5.7109375" style="18" bestFit="1" customWidth="1"/>
    <col min="13828" max="13828" width="7.140625" style="18" bestFit="1" customWidth="1"/>
    <col min="13829" max="13829" width="7.28515625" style="18" bestFit="1" customWidth="1"/>
    <col min="13830" max="13830" width="6.140625" style="18" bestFit="1" customWidth="1"/>
    <col min="13831" max="13833" width="7.28515625" style="18" bestFit="1" customWidth="1"/>
    <col min="13834" max="13834" width="8" style="18" bestFit="1" customWidth="1"/>
    <col min="13835" max="13835" width="8.28515625" style="18" customWidth="1"/>
    <col min="13836" max="13837" width="10.42578125" style="18" bestFit="1" customWidth="1"/>
    <col min="13838" max="13838" width="13.140625" style="18" bestFit="1" customWidth="1"/>
    <col min="13839" max="14080" width="9.140625" style="18"/>
    <col min="14081" max="14081" width="9.140625" style="18" customWidth="1"/>
    <col min="14082" max="14082" width="25.85546875" style="18" customWidth="1"/>
    <col min="14083" max="14083" width="5.7109375" style="18" bestFit="1" customWidth="1"/>
    <col min="14084" max="14084" width="7.140625" style="18" bestFit="1" customWidth="1"/>
    <col min="14085" max="14085" width="7.28515625" style="18" bestFit="1" customWidth="1"/>
    <col min="14086" max="14086" width="6.140625" style="18" bestFit="1" customWidth="1"/>
    <col min="14087" max="14089" width="7.28515625" style="18" bestFit="1" customWidth="1"/>
    <col min="14090" max="14090" width="8" style="18" bestFit="1" customWidth="1"/>
    <col min="14091" max="14091" width="8.28515625" style="18" customWidth="1"/>
    <col min="14092" max="14093" width="10.42578125" style="18" bestFit="1" customWidth="1"/>
    <col min="14094" max="14094" width="13.140625" style="18" bestFit="1" customWidth="1"/>
    <col min="14095" max="14336" width="9.140625" style="18"/>
    <col min="14337" max="14337" width="9.140625" style="18" customWidth="1"/>
    <col min="14338" max="14338" width="25.85546875" style="18" customWidth="1"/>
    <col min="14339" max="14339" width="5.7109375" style="18" bestFit="1" customWidth="1"/>
    <col min="14340" max="14340" width="7.140625" style="18" bestFit="1" customWidth="1"/>
    <col min="14341" max="14341" width="7.28515625" style="18" bestFit="1" customWidth="1"/>
    <col min="14342" max="14342" width="6.140625" style="18" bestFit="1" customWidth="1"/>
    <col min="14343" max="14345" width="7.28515625" style="18" bestFit="1" customWidth="1"/>
    <col min="14346" max="14346" width="8" style="18" bestFit="1" customWidth="1"/>
    <col min="14347" max="14347" width="8.28515625" style="18" customWidth="1"/>
    <col min="14348" max="14349" width="10.42578125" style="18" bestFit="1" customWidth="1"/>
    <col min="14350" max="14350" width="13.140625" style="18" bestFit="1" customWidth="1"/>
    <col min="14351" max="14592" width="9.140625" style="18"/>
    <col min="14593" max="14593" width="9.140625" style="18" customWidth="1"/>
    <col min="14594" max="14594" width="25.85546875" style="18" customWidth="1"/>
    <col min="14595" max="14595" width="5.7109375" style="18" bestFit="1" customWidth="1"/>
    <col min="14596" max="14596" width="7.140625" style="18" bestFit="1" customWidth="1"/>
    <col min="14597" max="14597" width="7.28515625" style="18" bestFit="1" customWidth="1"/>
    <col min="14598" max="14598" width="6.140625" style="18" bestFit="1" customWidth="1"/>
    <col min="14599" max="14601" width="7.28515625" style="18" bestFit="1" customWidth="1"/>
    <col min="14602" max="14602" width="8" style="18" bestFit="1" customWidth="1"/>
    <col min="14603" max="14603" width="8.28515625" style="18" customWidth="1"/>
    <col min="14604" max="14605" width="10.42578125" style="18" bestFit="1" customWidth="1"/>
    <col min="14606" max="14606" width="13.140625" style="18" bestFit="1" customWidth="1"/>
    <col min="14607" max="14848" width="9.140625" style="18"/>
    <col min="14849" max="14849" width="9.140625" style="18" customWidth="1"/>
    <col min="14850" max="14850" width="25.85546875" style="18" customWidth="1"/>
    <col min="14851" max="14851" width="5.7109375" style="18" bestFit="1" customWidth="1"/>
    <col min="14852" max="14852" width="7.140625" style="18" bestFit="1" customWidth="1"/>
    <col min="14853" max="14853" width="7.28515625" style="18" bestFit="1" customWidth="1"/>
    <col min="14854" max="14854" width="6.140625" style="18" bestFit="1" customWidth="1"/>
    <col min="14855" max="14857" width="7.28515625" style="18" bestFit="1" customWidth="1"/>
    <col min="14858" max="14858" width="8" style="18" bestFit="1" customWidth="1"/>
    <col min="14859" max="14859" width="8.28515625" style="18" customWidth="1"/>
    <col min="14860" max="14861" width="10.42578125" style="18" bestFit="1" customWidth="1"/>
    <col min="14862" max="14862" width="13.140625" style="18" bestFit="1" customWidth="1"/>
    <col min="14863" max="15104" width="9.140625" style="18"/>
    <col min="15105" max="15105" width="9.140625" style="18" customWidth="1"/>
    <col min="15106" max="15106" width="25.85546875" style="18" customWidth="1"/>
    <col min="15107" max="15107" width="5.7109375" style="18" bestFit="1" customWidth="1"/>
    <col min="15108" max="15108" width="7.140625" style="18" bestFit="1" customWidth="1"/>
    <col min="15109" max="15109" width="7.28515625" style="18" bestFit="1" customWidth="1"/>
    <col min="15110" max="15110" width="6.140625" style="18" bestFit="1" customWidth="1"/>
    <col min="15111" max="15113" width="7.28515625" style="18" bestFit="1" customWidth="1"/>
    <col min="15114" max="15114" width="8" style="18" bestFit="1" customWidth="1"/>
    <col min="15115" max="15115" width="8.28515625" style="18" customWidth="1"/>
    <col min="15116" max="15117" width="10.42578125" style="18" bestFit="1" customWidth="1"/>
    <col min="15118" max="15118" width="13.140625" style="18" bestFit="1" customWidth="1"/>
    <col min="15119" max="15360" width="9.140625" style="18"/>
    <col min="15361" max="15361" width="9.140625" style="18" customWidth="1"/>
    <col min="15362" max="15362" width="25.85546875" style="18" customWidth="1"/>
    <col min="15363" max="15363" width="5.7109375" style="18" bestFit="1" customWidth="1"/>
    <col min="15364" max="15364" width="7.140625" style="18" bestFit="1" customWidth="1"/>
    <col min="15365" max="15365" width="7.28515625" style="18" bestFit="1" customWidth="1"/>
    <col min="15366" max="15366" width="6.140625" style="18" bestFit="1" customWidth="1"/>
    <col min="15367" max="15369" width="7.28515625" style="18" bestFit="1" customWidth="1"/>
    <col min="15370" max="15370" width="8" style="18" bestFit="1" customWidth="1"/>
    <col min="15371" max="15371" width="8.28515625" style="18" customWidth="1"/>
    <col min="15372" max="15373" width="10.42578125" style="18" bestFit="1" customWidth="1"/>
    <col min="15374" max="15374" width="13.140625" style="18" bestFit="1" customWidth="1"/>
    <col min="15375" max="15616" width="9.140625" style="18"/>
    <col min="15617" max="15617" width="9.140625" style="18" customWidth="1"/>
    <col min="15618" max="15618" width="25.85546875" style="18" customWidth="1"/>
    <col min="15619" max="15619" width="5.7109375" style="18" bestFit="1" customWidth="1"/>
    <col min="15620" max="15620" width="7.140625" style="18" bestFit="1" customWidth="1"/>
    <col min="15621" max="15621" width="7.28515625" style="18" bestFit="1" customWidth="1"/>
    <col min="15622" max="15622" width="6.140625" style="18" bestFit="1" customWidth="1"/>
    <col min="15623" max="15625" width="7.28515625" style="18" bestFit="1" customWidth="1"/>
    <col min="15626" max="15626" width="8" style="18" bestFit="1" customWidth="1"/>
    <col min="15627" max="15627" width="8.28515625" style="18" customWidth="1"/>
    <col min="15628" max="15629" width="10.42578125" style="18" bestFit="1" customWidth="1"/>
    <col min="15630" max="15630" width="13.140625" style="18" bestFit="1" customWidth="1"/>
    <col min="15631" max="15872" width="9.140625" style="18"/>
    <col min="15873" max="15873" width="9.140625" style="18" customWidth="1"/>
    <col min="15874" max="15874" width="25.85546875" style="18" customWidth="1"/>
    <col min="15875" max="15875" width="5.7109375" style="18" bestFit="1" customWidth="1"/>
    <col min="15876" max="15876" width="7.140625" style="18" bestFit="1" customWidth="1"/>
    <col min="15877" max="15877" width="7.28515625" style="18" bestFit="1" customWidth="1"/>
    <col min="15878" max="15878" width="6.140625" style="18" bestFit="1" customWidth="1"/>
    <col min="15879" max="15881" width="7.28515625" style="18" bestFit="1" customWidth="1"/>
    <col min="15882" max="15882" width="8" style="18" bestFit="1" customWidth="1"/>
    <col min="15883" max="15883" width="8.28515625" style="18" customWidth="1"/>
    <col min="15884" max="15885" width="10.42578125" style="18" bestFit="1" customWidth="1"/>
    <col min="15886" max="15886" width="13.140625" style="18" bestFit="1" customWidth="1"/>
    <col min="15887" max="16128" width="9.140625" style="18"/>
    <col min="16129" max="16129" width="9.140625" style="18" customWidth="1"/>
    <col min="16130" max="16130" width="25.85546875" style="18" customWidth="1"/>
    <col min="16131" max="16131" width="5.7109375" style="18" bestFit="1" customWidth="1"/>
    <col min="16132" max="16132" width="7.140625" style="18" bestFit="1" customWidth="1"/>
    <col min="16133" max="16133" width="7.28515625" style="18" bestFit="1" customWidth="1"/>
    <col min="16134" max="16134" width="6.140625" style="18" bestFit="1" customWidth="1"/>
    <col min="16135" max="16137" width="7.28515625" style="18" bestFit="1" customWidth="1"/>
    <col min="16138" max="16138" width="8" style="18" bestFit="1" customWidth="1"/>
    <col min="16139" max="16139" width="8.28515625" style="18" customWidth="1"/>
    <col min="16140" max="16141" width="10.42578125" style="18" bestFit="1" customWidth="1"/>
    <col min="16142" max="16142" width="13.140625" style="18" bestFit="1" customWidth="1"/>
    <col min="16143" max="16384" width="9.140625" style="18"/>
  </cols>
  <sheetData>
    <row r="1" spans="1:20" s="238" customFormat="1" ht="15" x14ac:dyDescent="0.25">
      <c r="B1" s="8"/>
      <c r="C1" s="8"/>
      <c r="D1" s="8"/>
      <c r="E1" s="239"/>
      <c r="F1" s="239"/>
      <c r="G1" s="239"/>
      <c r="H1" s="239"/>
      <c r="I1" s="239"/>
      <c r="J1" s="240"/>
      <c r="K1" s="241"/>
      <c r="L1" s="241"/>
      <c r="M1" s="241"/>
      <c r="N1" s="241"/>
      <c r="O1" s="241"/>
      <c r="P1" s="241"/>
      <c r="Q1" s="241"/>
      <c r="R1" s="241"/>
      <c r="S1" s="241"/>
      <c r="T1" s="241"/>
    </row>
    <row r="2" spans="1:20" s="244" customFormat="1" ht="18" customHeight="1" x14ac:dyDescent="0.25">
      <c r="A2" s="262" t="s">
        <v>1647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43"/>
      <c r="M2" s="243"/>
      <c r="N2" s="243"/>
      <c r="O2" s="243"/>
      <c r="P2" s="243"/>
      <c r="Q2" s="243"/>
      <c r="R2" s="243"/>
      <c r="S2" s="243"/>
      <c r="T2" s="243"/>
    </row>
    <row r="3" spans="1:20" s="244" customFormat="1" ht="18" customHeight="1" x14ac:dyDescent="0.25">
      <c r="A3" s="262" t="s">
        <v>20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43"/>
      <c r="M3" s="243"/>
      <c r="N3" s="243"/>
      <c r="O3" s="243"/>
      <c r="P3" s="243"/>
      <c r="Q3" s="243"/>
      <c r="R3" s="243"/>
      <c r="S3" s="243"/>
      <c r="T3" s="243"/>
    </row>
    <row r="4" spans="1:20" s="244" customFormat="1" ht="18" customHeight="1" x14ac:dyDescent="0.25">
      <c r="A4" s="262" t="s">
        <v>1656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43"/>
      <c r="M4" s="243"/>
      <c r="N4" s="243"/>
      <c r="O4" s="243"/>
      <c r="P4" s="243"/>
      <c r="Q4" s="243"/>
      <c r="R4" s="243"/>
      <c r="S4" s="243"/>
      <c r="T4" s="243"/>
    </row>
    <row r="5" spans="1:20" s="238" customFormat="1" ht="15" x14ac:dyDescent="0.25">
      <c r="E5" s="239"/>
      <c r="F5" s="239"/>
      <c r="G5" s="239"/>
      <c r="H5" s="239"/>
      <c r="I5" s="239"/>
      <c r="J5" s="246"/>
    </row>
    <row r="6" spans="1:20" s="248" customFormat="1" x14ac:dyDescent="0.25">
      <c r="A6" s="249" t="s">
        <v>1648</v>
      </c>
      <c r="B6" s="260" t="s">
        <v>1649</v>
      </c>
      <c r="C6" s="260"/>
      <c r="D6" s="260"/>
      <c r="E6" s="260"/>
      <c r="F6" s="260"/>
      <c r="G6" s="260"/>
      <c r="H6" s="260"/>
      <c r="I6" s="260"/>
      <c r="J6" s="260"/>
      <c r="K6" s="260"/>
      <c r="L6" s="247"/>
      <c r="M6" s="247"/>
      <c r="N6" s="247"/>
      <c r="O6" s="247"/>
      <c r="P6" s="247"/>
      <c r="Q6" s="247"/>
      <c r="R6" s="247"/>
      <c r="S6" s="247"/>
      <c r="T6" s="247"/>
    </row>
    <row r="7" spans="1:20" s="248" customFormat="1" x14ac:dyDescent="0.25">
      <c r="A7" s="249" t="s">
        <v>21</v>
      </c>
      <c r="B7" s="260" t="s">
        <v>932</v>
      </c>
      <c r="C7" s="260"/>
      <c r="D7" s="260"/>
      <c r="E7" s="260"/>
      <c r="F7" s="260"/>
      <c r="G7" s="260"/>
      <c r="H7" s="260"/>
      <c r="I7" s="260"/>
      <c r="J7" s="260"/>
      <c r="K7" s="260"/>
      <c r="L7" s="247"/>
      <c r="M7" s="247"/>
      <c r="N7" s="247"/>
      <c r="O7" s="247"/>
      <c r="P7" s="247"/>
      <c r="Q7" s="247"/>
      <c r="R7" s="247"/>
      <c r="S7" s="247"/>
      <c r="T7" s="247"/>
    </row>
    <row r="8" spans="1:20" s="248" customFormat="1" x14ac:dyDescent="0.25">
      <c r="A8" s="249" t="s">
        <v>22</v>
      </c>
      <c r="B8" s="260" t="s">
        <v>1650</v>
      </c>
      <c r="C8" s="260"/>
      <c r="D8" s="260"/>
      <c r="E8" s="260"/>
      <c r="F8" s="260"/>
      <c r="G8" s="260"/>
      <c r="H8" s="260"/>
      <c r="I8" s="260"/>
      <c r="J8" s="260"/>
      <c r="K8" s="260"/>
      <c r="L8" s="247"/>
      <c r="M8" s="247"/>
      <c r="N8" s="247"/>
      <c r="O8" s="247"/>
      <c r="P8" s="247"/>
      <c r="Q8" s="247"/>
      <c r="R8" s="247"/>
      <c r="S8" s="247"/>
      <c r="T8" s="247"/>
    </row>
    <row r="9" spans="1:20" s="248" customFormat="1" x14ac:dyDescent="0.25">
      <c r="A9" s="249" t="s">
        <v>1651</v>
      </c>
      <c r="B9" s="261" t="s">
        <v>1652</v>
      </c>
      <c r="C9" s="261"/>
      <c r="D9" s="261"/>
      <c r="E9" s="261"/>
      <c r="F9" s="261"/>
      <c r="G9" s="261"/>
      <c r="H9" s="261"/>
      <c r="I9" s="261"/>
      <c r="J9" s="261"/>
      <c r="K9" s="261"/>
      <c r="L9" s="247"/>
      <c r="M9" s="247"/>
      <c r="N9" s="247"/>
      <c r="O9" s="247"/>
      <c r="P9" s="247"/>
      <c r="Q9" s="247"/>
      <c r="R9" s="247"/>
      <c r="S9" s="247"/>
      <c r="T9" s="247"/>
    </row>
    <row r="10" spans="1:20" s="248" customFormat="1" x14ac:dyDescent="0.25">
      <c r="A10" s="249" t="s">
        <v>1653</v>
      </c>
      <c r="B10" s="271">
        <v>0.26929999999999998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47"/>
      <c r="M10" s="247"/>
      <c r="N10" s="247"/>
      <c r="O10" s="247"/>
      <c r="P10" s="247"/>
      <c r="Q10" s="247"/>
      <c r="R10" s="247"/>
      <c r="S10" s="247"/>
      <c r="T10" s="247"/>
    </row>
    <row r="11" spans="1:20" s="248" customFormat="1" ht="38.25" x14ac:dyDescent="0.25">
      <c r="A11" s="258" t="s">
        <v>1654</v>
      </c>
      <c r="B11" s="250">
        <v>0.20930000000000001</v>
      </c>
      <c r="C11" s="260" t="s">
        <v>1655</v>
      </c>
      <c r="D11" s="260"/>
      <c r="E11" s="260"/>
      <c r="F11" s="260"/>
      <c r="G11" s="260"/>
      <c r="H11" s="260"/>
      <c r="I11" s="260"/>
      <c r="J11" s="260"/>
      <c r="K11" s="260"/>
      <c r="L11" s="247"/>
      <c r="M11" s="247"/>
      <c r="N11" s="247"/>
      <c r="O11" s="247"/>
      <c r="P11" s="247"/>
      <c r="Q11" s="247"/>
      <c r="R11" s="247"/>
      <c r="S11" s="247"/>
      <c r="T11" s="247"/>
    </row>
    <row r="12" spans="1:20" x14ac:dyDescent="0.25">
      <c r="A12" s="17"/>
      <c r="B12" s="273"/>
      <c r="C12" s="273"/>
      <c r="D12" s="273"/>
      <c r="E12" s="273"/>
      <c r="F12" s="273"/>
      <c r="G12" s="273"/>
      <c r="H12" s="273"/>
      <c r="I12" s="273"/>
      <c r="J12" s="273"/>
      <c r="K12" s="17"/>
    </row>
    <row r="13" spans="1:20" x14ac:dyDescent="0.25">
      <c r="A13" s="19" t="str">
        <f>'Lista de Serviços'!A17</f>
        <v>01.06.000</v>
      </c>
      <c r="B13" s="274" t="str">
        <f>'Lista de Serviços'!B19</f>
        <v>Ensaio de consistência de concreto - Slump Test</v>
      </c>
      <c r="C13" s="274"/>
      <c r="D13" s="274"/>
      <c r="E13" s="274"/>
      <c r="F13" s="274"/>
      <c r="G13" s="274"/>
      <c r="H13" s="274"/>
      <c r="I13" s="274"/>
      <c r="J13" s="274"/>
      <c r="K13" s="20"/>
      <c r="L13" s="18" t="s">
        <v>1412</v>
      </c>
    </row>
    <row r="14" spans="1:20" x14ac:dyDescent="0.25">
      <c r="A14" s="275"/>
      <c r="B14" s="275"/>
      <c r="C14" s="21"/>
      <c r="D14" s="21"/>
      <c r="E14" s="21"/>
      <c r="F14" s="21"/>
      <c r="G14" s="275" t="s">
        <v>23</v>
      </c>
      <c r="H14" s="275"/>
      <c r="I14" s="275" t="s">
        <v>24</v>
      </c>
      <c r="J14" s="275"/>
      <c r="K14" s="275"/>
    </row>
    <row r="15" spans="1:20" x14ac:dyDescent="0.25">
      <c r="A15" s="275" t="s">
        <v>25</v>
      </c>
      <c r="B15" s="275"/>
      <c r="C15" s="275" t="s">
        <v>26</v>
      </c>
      <c r="D15" s="275" t="s">
        <v>27</v>
      </c>
      <c r="E15" s="275" t="s">
        <v>28</v>
      </c>
      <c r="F15" s="275" t="s">
        <v>29</v>
      </c>
      <c r="G15" s="144" t="s">
        <v>30</v>
      </c>
      <c r="H15" s="144" t="s">
        <v>31</v>
      </c>
      <c r="I15" s="144" t="s">
        <v>32</v>
      </c>
      <c r="J15" s="144" t="s">
        <v>30</v>
      </c>
      <c r="K15" s="144" t="s">
        <v>31</v>
      </c>
    </row>
    <row r="16" spans="1:20" x14ac:dyDescent="0.25">
      <c r="A16" s="275"/>
      <c r="B16" s="275"/>
      <c r="C16" s="275"/>
      <c r="D16" s="275"/>
      <c r="E16" s="275"/>
      <c r="F16" s="275"/>
      <c r="G16" s="144" t="s">
        <v>33</v>
      </c>
      <c r="H16" s="144" t="s">
        <v>34</v>
      </c>
      <c r="I16" s="144" t="s">
        <v>35</v>
      </c>
      <c r="J16" s="144" t="s">
        <v>33</v>
      </c>
      <c r="K16" s="144" t="s">
        <v>34</v>
      </c>
    </row>
    <row r="17" spans="1:12" x14ac:dyDescent="0.25">
      <c r="A17" s="144"/>
      <c r="B17" s="22" t="s">
        <v>575</v>
      </c>
      <c r="C17" s="147">
        <v>1</v>
      </c>
      <c r="D17" s="147"/>
      <c r="E17" s="24"/>
      <c r="F17" s="147"/>
      <c r="G17" s="25"/>
      <c r="H17" s="26">
        <v>0.24</v>
      </c>
      <c r="I17" s="26"/>
      <c r="J17" s="26"/>
      <c r="K17" s="26">
        <v>0.24</v>
      </c>
    </row>
    <row r="18" spans="1:12" x14ac:dyDescent="0.25">
      <c r="A18" s="144"/>
      <c r="B18" s="22" t="s">
        <v>910</v>
      </c>
      <c r="C18" s="147">
        <v>1</v>
      </c>
      <c r="D18" s="147"/>
      <c r="E18" s="24"/>
      <c r="F18" s="147"/>
      <c r="G18" s="25"/>
      <c r="H18" s="26">
        <v>26.56</v>
      </c>
      <c r="I18" s="26"/>
      <c r="J18" s="26"/>
      <c r="K18" s="26">
        <v>26.56</v>
      </c>
    </row>
    <row r="19" spans="1:12" x14ac:dyDescent="0.25">
      <c r="A19" s="144"/>
      <c r="B19" s="22" t="s">
        <v>566</v>
      </c>
      <c r="C19" s="147">
        <v>1</v>
      </c>
      <c r="D19" s="147"/>
      <c r="E19" s="24"/>
      <c r="F19" s="147"/>
      <c r="G19" s="25"/>
      <c r="H19" s="26">
        <v>2.62</v>
      </c>
      <c r="I19" s="26"/>
      <c r="J19" s="26"/>
      <c r="K19" s="26">
        <v>2.62</v>
      </c>
    </row>
    <row r="20" spans="1:12" x14ac:dyDescent="0.25">
      <c r="A20" s="144"/>
      <c r="B20" s="22" t="s">
        <v>911</v>
      </c>
      <c r="C20" s="147">
        <v>1</v>
      </c>
      <c r="D20" s="147"/>
      <c r="E20" s="24"/>
      <c r="F20" s="147"/>
      <c r="G20" s="25"/>
      <c r="H20" s="26">
        <v>4.16</v>
      </c>
      <c r="I20" s="26"/>
      <c r="J20" s="26"/>
      <c r="K20" s="26">
        <v>4.16</v>
      </c>
    </row>
    <row r="21" spans="1:12" x14ac:dyDescent="0.25">
      <c r="A21" s="144"/>
      <c r="B21" s="22" t="s">
        <v>912</v>
      </c>
      <c r="C21" s="147">
        <v>1</v>
      </c>
      <c r="D21" s="147"/>
      <c r="E21" s="24"/>
      <c r="F21" s="147">
        <v>0.1</v>
      </c>
      <c r="G21" s="25">
        <v>625.73</v>
      </c>
      <c r="H21" s="26">
        <v>62.573000000000008</v>
      </c>
      <c r="I21" s="26"/>
      <c r="J21" s="26"/>
      <c r="K21" s="26">
        <v>62.57</v>
      </c>
    </row>
    <row r="22" spans="1:12" x14ac:dyDescent="0.25">
      <c r="A22" s="144"/>
      <c r="B22" s="22" t="s">
        <v>913</v>
      </c>
      <c r="C22" s="147">
        <v>1</v>
      </c>
      <c r="D22" s="147"/>
      <c r="E22" s="24"/>
      <c r="F22" s="147">
        <v>7.0000000000000007E-2</v>
      </c>
      <c r="G22" s="25">
        <v>149.96</v>
      </c>
      <c r="H22" s="26">
        <v>10.497200000000001</v>
      </c>
      <c r="I22" s="26"/>
      <c r="J22" s="26"/>
      <c r="K22" s="26">
        <v>10.5</v>
      </c>
    </row>
    <row r="23" spans="1:12" ht="22.5" x14ac:dyDescent="0.25">
      <c r="A23" s="146"/>
      <c r="B23" s="28" t="s">
        <v>909</v>
      </c>
      <c r="C23" s="145">
        <v>14</v>
      </c>
      <c r="D23" s="28"/>
      <c r="E23" s="28"/>
      <c r="F23" s="272" t="s">
        <v>36</v>
      </c>
      <c r="G23" s="272"/>
      <c r="H23" s="272"/>
      <c r="I23" s="29"/>
      <c r="J23" s="29"/>
      <c r="K23" s="29">
        <v>106.65</v>
      </c>
    </row>
    <row r="24" spans="1:12" x14ac:dyDescent="0.25">
      <c r="A24" s="144"/>
      <c r="B24" s="273"/>
      <c r="C24" s="273"/>
      <c r="D24" s="273"/>
      <c r="E24" s="273"/>
      <c r="F24" s="273"/>
      <c r="G24" s="273"/>
      <c r="H24" s="273"/>
      <c r="I24" s="273"/>
      <c r="J24" s="273"/>
      <c r="K24" s="144"/>
    </row>
    <row r="25" spans="1:12" x14ac:dyDescent="0.25">
      <c r="A25" s="19" t="str">
        <f>'Lista de Serviços'!A50</f>
        <v>02.02.111</v>
      </c>
      <c r="B25" s="274" t="str">
        <f>'Lista de Serviços'!B51</f>
        <v>DEMOLIÇÃO DA BANCADA DE CONCRETO NO BLOCO EXISTENTE</v>
      </c>
      <c r="C25" s="274"/>
      <c r="D25" s="274"/>
      <c r="E25" s="274"/>
      <c r="F25" s="274"/>
      <c r="G25" s="274"/>
      <c r="H25" s="274"/>
      <c r="I25" s="274"/>
      <c r="J25" s="274"/>
      <c r="K25" s="20"/>
      <c r="L25" s="18" t="s">
        <v>1412</v>
      </c>
    </row>
    <row r="26" spans="1:12" x14ac:dyDescent="0.25">
      <c r="A26" s="275"/>
      <c r="B26" s="275"/>
      <c r="C26" s="21"/>
      <c r="D26" s="21"/>
      <c r="E26" s="21"/>
      <c r="F26" s="21"/>
      <c r="G26" s="275" t="s">
        <v>23</v>
      </c>
      <c r="H26" s="275"/>
      <c r="I26" s="275" t="s">
        <v>24</v>
      </c>
      <c r="J26" s="275"/>
      <c r="K26" s="275"/>
    </row>
    <row r="27" spans="1:12" x14ac:dyDescent="0.25">
      <c r="A27" s="275" t="s">
        <v>25</v>
      </c>
      <c r="B27" s="275"/>
      <c r="C27" s="275" t="s">
        <v>26</v>
      </c>
      <c r="D27" s="275" t="s">
        <v>27</v>
      </c>
      <c r="E27" s="275" t="s">
        <v>28</v>
      </c>
      <c r="F27" s="275" t="s">
        <v>29</v>
      </c>
      <c r="G27" s="126" t="s">
        <v>30</v>
      </c>
      <c r="H27" s="126" t="s">
        <v>31</v>
      </c>
      <c r="I27" s="126" t="s">
        <v>32</v>
      </c>
      <c r="J27" s="126" t="s">
        <v>30</v>
      </c>
      <c r="K27" s="126" t="s">
        <v>31</v>
      </c>
    </row>
    <row r="28" spans="1:12" x14ac:dyDescent="0.25">
      <c r="A28" s="275"/>
      <c r="B28" s="275"/>
      <c r="C28" s="275"/>
      <c r="D28" s="275"/>
      <c r="E28" s="275"/>
      <c r="F28" s="275"/>
      <c r="G28" s="126" t="s">
        <v>33</v>
      </c>
      <c r="H28" s="126" t="s">
        <v>34</v>
      </c>
      <c r="I28" s="126" t="s">
        <v>35</v>
      </c>
      <c r="J28" s="126" t="s">
        <v>33</v>
      </c>
      <c r="K28" s="126" t="s">
        <v>34</v>
      </c>
    </row>
    <row r="29" spans="1:12" ht="22.5" x14ac:dyDescent="0.25">
      <c r="A29" s="126"/>
      <c r="B29" s="22" t="s">
        <v>741</v>
      </c>
      <c r="C29" s="23">
        <v>1</v>
      </c>
      <c r="D29" s="23">
        <v>4.8499999999999996</v>
      </c>
      <c r="E29" s="24">
        <v>0.7</v>
      </c>
      <c r="F29" s="23">
        <v>0.15</v>
      </c>
      <c r="G29" s="25"/>
      <c r="H29" s="26">
        <v>0.50924999999999998</v>
      </c>
      <c r="I29" s="26"/>
      <c r="J29" s="26"/>
      <c r="K29" s="26">
        <v>0.50924999999999998</v>
      </c>
    </row>
    <row r="30" spans="1:12" ht="33.75" x14ac:dyDescent="0.25">
      <c r="A30" s="27"/>
      <c r="B30" s="28" t="s">
        <v>742</v>
      </c>
      <c r="C30" s="28"/>
      <c r="D30" s="28"/>
      <c r="E30" s="28"/>
      <c r="F30" s="272" t="s">
        <v>36</v>
      </c>
      <c r="G30" s="272"/>
      <c r="H30" s="272"/>
      <c r="I30" s="29"/>
      <c r="J30" s="29"/>
      <c r="K30" s="29">
        <v>0.51</v>
      </c>
    </row>
    <row r="31" spans="1:12" x14ac:dyDescent="0.25">
      <c r="A31" s="126"/>
      <c r="B31" s="273"/>
      <c r="C31" s="273"/>
      <c r="D31" s="273"/>
      <c r="E31" s="273"/>
      <c r="F31" s="273"/>
      <c r="G31" s="273"/>
      <c r="H31" s="273"/>
      <c r="I31" s="273"/>
      <c r="J31" s="273"/>
      <c r="K31" s="126"/>
    </row>
    <row r="32" spans="1:12" x14ac:dyDescent="0.25">
      <c r="A32" s="19" t="str">
        <f>'Lista de Serviços'!A52</f>
        <v>02.02.140</v>
      </c>
      <c r="B32" s="274" t="str">
        <f>'Lista de Serviços'!B53</f>
        <v>DEMOLIÇÃO DE ALVENARIA DE BLOCO FURADO, DE FORMA MANUAL, SEM REAPROVEITAMENTO. AF_12/2017</v>
      </c>
      <c r="C32" s="274"/>
      <c r="D32" s="274"/>
      <c r="E32" s="274"/>
      <c r="F32" s="274"/>
      <c r="G32" s="274"/>
      <c r="H32" s="274"/>
      <c r="I32" s="274"/>
      <c r="J32" s="274"/>
      <c r="K32" s="20"/>
      <c r="L32" s="18" t="s">
        <v>1412</v>
      </c>
    </row>
    <row r="33" spans="1:12" x14ac:dyDescent="0.25">
      <c r="A33" s="275"/>
      <c r="B33" s="275"/>
      <c r="C33" s="21"/>
      <c r="D33" s="21"/>
      <c r="E33" s="21"/>
      <c r="F33" s="21"/>
      <c r="G33" s="275" t="s">
        <v>23</v>
      </c>
      <c r="H33" s="275"/>
      <c r="I33" s="275" t="s">
        <v>24</v>
      </c>
      <c r="J33" s="275"/>
      <c r="K33" s="275"/>
    </row>
    <row r="34" spans="1:12" x14ac:dyDescent="0.25">
      <c r="A34" s="275" t="s">
        <v>25</v>
      </c>
      <c r="B34" s="275"/>
      <c r="C34" s="275" t="s">
        <v>26</v>
      </c>
      <c r="D34" s="275" t="s">
        <v>27</v>
      </c>
      <c r="E34" s="275" t="s">
        <v>28</v>
      </c>
      <c r="F34" s="275" t="s">
        <v>29</v>
      </c>
      <c r="G34" s="126" t="s">
        <v>30</v>
      </c>
      <c r="H34" s="126" t="s">
        <v>31</v>
      </c>
      <c r="I34" s="126" t="s">
        <v>32</v>
      </c>
      <c r="J34" s="126" t="s">
        <v>30</v>
      </c>
      <c r="K34" s="126" t="s">
        <v>31</v>
      </c>
    </row>
    <row r="35" spans="1:12" x14ac:dyDescent="0.25">
      <c r="A35" s="275"/>
      <c r="B35" s="275"/>
      <c r="C35" s="275"/>
      <c r="D35" s="275"/>
      <c r="E35" s="275"/>
      <c r="F35" s="275"/>
      <c r="G35" s="126" t="s">
        <v>33</v>
      </c>
      <c r="H35" s="126" t="s">
        <v>34</v>
      </c>
      <c r="I35" s="126" t="s">
        <v>35</v>
      </c>
      <c r="J35" s="126" t="s">
        <v>33</v>
      </c>
      <c r="K35" s="126" t="s">
        <v>34</v>
      </c>
    </row>
    <row r="36" spans="1:12" ht="22.5" x14ac:dyDescent="0.25">
      <c r="A36" s="126"/>
      <c r="B36" s="22" t="s">
        <v>739</v>
      </c>
      <c r="C36" s="23">
        <v>1</v>
      </c>
      <c r="D36" s="23">
        <v>1.72</v>
      </c>
      <c r="E36" s="24">
        <v>0.15</v>
      </c>
      <c r="F36" s="23">
        <v>2.17</v>
      </c>
      <c r="G36" s="25"/>
      <c r="H36" s="26">
        <v>0.55985999999999991</v>
      </c>
      <c r="I36" s="26"/>
      <c r="J36" s="26"/>
      <c r="K36" s="26">
        <v>0.55985999999999991</v>
      </c>
    </row>
    <row r="37" spans="1:12" ht="22.5" x14ac:dyDescent="0.25">
      <c r="A37" s="127"/>
      <c r="B37" s="22" t="s">
        <v>747</v>
      </c>
      <c r="C37" s="23">
        <v>1</v>
      </c>
      <c r="D37" s="23">
        <v>2.35</v>
      </c>
      <c r="E37" s="24">
        <v>0.15</v>
      </c>
      <c r="F37" s="23">
        <v>3.45</v>
      </c>
      <c r="G37" s="25"/>
      <c r="H37" s="26">
        <v>1.2161249999999999</v>
      </c>
      <c r="I37" s="26"/>
      <c r="J37" s="26"/>
      <c r="K37" s="26">
        <v>1.2161249999999999</v>
      </c>
    </row>
    <row r="38" spans="1:12" x14ac:dyDescent="0.25">
      <c r="A38" s="127"/>
      <c r="B38" s="22" t="s">
        <v>748</v>
      </c>
      <c r="C38" s="23">
        <v>-1</v>
      </c>
      <c r="D38" s="23">
        <v>1.35</v>
      </c>
      <c r="E38" s="24">
        <v>0.15</v>
      </c>
      <c r="F38" s="23">
        <v>2.1</v>
      </c>
      <c r="G38" s="25"/>
      <c r="H38" s="26">
        <v>0.42525000000000002</v>
      </c>
      <c r="I38" s="26"/>
      <c r="J38" s="26"/>
      <c r="K38" s="26">
        <v>-0.42525000000000002</v>
      </c>
    </row>
    <row r="39" spans="1:12" x14ac:dyDescent="0.25">
      <c r="A39" s="27"/>
      <c r="B39" s="28"/>
      <c r="C39" s="28"/>
      <c r="D39" s="28"/>
      <c r="E39" s="28"/>
      <c r="F39" s="272" t="s">
        <v>36</v>
      </c>
      <c r="G39" s="272"/>
      <c r="H39" s="272"/>
      <c r="I39" s="29"/>
      <c r="J39" s="29"/>
      <c r="K39" s="29">
        <v>1.35</v>
      </c>
    </row>
    <row r="40" spans="1:12" x14ac:dyDescent="0.25">
      <c r="A40" s="126"/>
      <c r="B40" s="273"/>
      <c r="C40" s="273"/>
      <c r="D40" s="273"/>
      <c r="E40" s="273"/>
      <c r="F40" s="273"/>
      <c r="G40" s="273"/>
      <c r="H40" s="273"/>
      <c r="I40" s="273"/>
      <c r="J40" s="273"/>
      <c r="K40" s="126"/>
    </row>
    <row r="41" spans="1:12" x14ac:dyDescent="0.25">
      <c r="A41" s="19" t="str">
        <f>'Lista de Serviços'!A52</f>
        <v>02.02.140</v>
      </c>
      <c r="B41" s="274" t="str">
        <f>'Lista de Serviços'!B54</f>
        <v>DEMOLIÇÃO DE PISO ELEVADO NO BLOCO EXISTENTE</v>
      </c>
      <c r="C41" s="274"/>
      <c r="D41" s="274"/>
      <c r="E41" s="274"/>
      <c r="F41" s="274"/>
      <c r="G41" s="274"/>
      <c r="H41" s="274"/>
      <c r="I41" s="274"/>
      <c r="J41" s="274"/>
      <c r="K41" s="20"/>
      <c r="L41" s="18" t="s">
        <v>1412</v>
      </c>
    </row>
    <row r="42" spans="1:12" x14ac:dyDescent="0.25">
      <c r="A42" s="275"/>
      <c r="B42" s="275"/>
      <c r="C42" s="21"/>
      <c r="D42" s="21"/>
      <c r="E42" s="21"/>
      <c r="F42" s="21"/>
      <c r="G42" s="275" t="s">
        <v>23</v>
      </c>
      <c r="H42" s="275"/>
      <c r="I42" s="275" t="s">
        <v>24</v>
      </c>
      <c r="J42" s="275"/>
      <c r="K42" s="275"/>
    </row>
    <row r="43" spans="1:12" x14ac:dyDescent="0.25">
      <c r="A43" s="275" t="s">
        <v>25</v>
      </c>
      <c r="B43" s="275"/>
      <c r="C43" s="275" t="s">
        <v>26</v>
      </c>
      <c r="D43" s="275" t="s">
        <v>27</v>
      </c>
      <c r="E43" s="275" t="s">
        <v>28</v>
      </c>
      <c r="F43" s="275" t="s">
        <v>29</v>
      </c>
      <c r="G43" s="127" t="s">
        <v>30</v>
      </c>
      <c r="H43" s="127" t="s">
        <v>31</v>
      </c>
      <c r="I43" s="127" t="s">
        <v>32</v>
      </c>
      <c r="J43" s="127" t="s">
        <v>30</v>
      </c>
      <c r="K43" s="127" t="s">
        <v>31</v>
      </c>
    </row>
    <row r="44" spans="1:12" x14ac:dyDescent="0.25">
      <c r="A44" s="275"/>
      <c r="B44" s="275"/>
      <c r="C44" s="275"/>
      <c r="D44" s="275"/>
      <c r="E44" s="275"/>
      <c r="F44" s="275"/>
      <c r="G44" s="127" t="s">
        <v>33</v>
      </c>
      <c r="H44" s="127" t="s">
        <v>34</v>
      </c>
      <c r="I44" s="127" t="s">
        <v>35</v>
      </c>
      <c r="J44" s="127" t="s">
        <v>33</v>
      </c>
      <c r="K44" s="127" t="s">
        <v>34</v>
      </c>
    </row>
    <row r="45" spans="1:12" x14ac:dyDescent="0.25">
      <c r="A45" s="127"/>
      <c r="B45" s="22" t="s">
        <v>745</v>
      </c>
      <c r="C45" s="23">
        <v>1</v>
      </c>
      <c r="D45" s="23">
        <v>1.5</v>
      </c>
      <c r="E45" s="24">
        <v>0.9</v>
      </c>
      <c r="F45" s="23">
        <v>0.1</v>
      </c>
      <c r="G45" s="25"/>
      <c r="H45" s="26">
        <v>0.13500000000000001</v>
      </c>
      <c r="I45" s="26"/>
      <c r="J45" s="26"/>
      <c r="K45" s="26">
        <v>0.13500000000000001</v>
      </c>
    </row>
    <row r="46" spans="1:12" x14ac:dyDescent="0.25">
      <c r="A46" s="27"/>
      <c r="B46" s="28"/>
      <c r="C46" s="28"/>
      <c r="D46" s="28"/>
      <c r="E46" s="28"/>
      <c r="F46" s="272" t="s">
        <v>36</v>
      </c>
      <c r="G46" s="272"/>
      <c r="H46" s="272"/>
      <c r="I46" s="29"/>
      <c r="J46" s="29"/>
      <c r="K46" s="29">
        <v>0.14000000000000001</v>
      </c>
    </row>
    <row r="47" spans="1:12" x14ac:dyDescent="0.25">
      <c r="A47" s="127"/>
      <c r="B47" s="273"/>
      <c r="C47" s="273"/>
      <c r="D47" s="273"/>
      <c r="E47" s="273"/>
      <c r="F47" s="273"/>
      <c r="G47" s="273"/>
      <c r="H47" s="273"/>
      <c r="I47" s="273"/>
      <c r="J47" s="273"/>
      <c r="K47" s="127"/>
    </row>
    <row r="48" spans="1:12" x14ac:dyDescent="0.25">
      <c r="A48" s="19" t="str">
        <f>'Lista de Serviços'!A57</f>
        <v>02.02.300</v>
      </c>
      <c r="B48" s="274" t="str">
        <f>'Lista de Serviços'!B58</f>
        <v>REMOÇÃO DE TAPUME/ CHAPAS METÁLICAS E DE MADEIRA, DE FORMA MANUAL, SEM REAPROVEITAMENTO. AF_12/2017</v>
      </c>
      <c r="C48" s="274"/>
      <c r="D48" s="274"/>
      <c r="E48" s="274"/>
      <c r="F48" s="274"/>
      <c r="G48" s="274"/>
      <c r="H48" s="274"/>
      <c r="I48" s="274"/>
      <c r="J48" s="274"/>
      <c r="K48" s="20"/>
      <c r="L48" s="18" t="s">
        <v>1412</v>
      </c>
    </row>
    <row r="49" spans="1:12" x14ac:dyDescent="0.25">
      <c r="A49" s="275"/>
      <c r="B49" s="275"/>
      <c r="C49" s="21"/>
      <c r="D49" s="21"/>
      <c r="E49" s="21"/>
      <c r="F49" s="21"/>
      <c r="G49" s="275" t="s">
        <v>23</v>
      </c>
      <c r="H49" s="275"/>
      <c r="I49" s="275" t="s">
        <v>24</v>
      </c>
      <c r="J49" s="275"/>
      <c r="K49" s="275"/>
    </row>
    <row r="50" spans="1:12" x14ac:dyDescent="0.25">
      <c r="A50" s="275" t="s">
        <v>25</v>
      </c>
      <c r="B50" s="275"/>
      <c r="C50" s="275" t="s">
        <v>26</v>
      </c>
      <c r="D50" s="275" t="s">
        <v>27</v>
      </c>
      <c r="E50" s="275" t="s">
        <v>28</v>
      </c>
      <c r="F50" s="275" t="s">
        <v>29</v>
      </c>
      <c r="G50" s="128" t="s">
        <v>30</v>
      </c>
      <c r="H50" s="128" t="s">
        <v>31</v>
      </c>
      <c r="I50" s="128" t="s">
        <v>32</v>
      </c>
      <c r="J50" s="128" t="s">
        <v>30</v>
      </c>
      <c r="K50" s="128" t="s">
        <v>31</v>
      </c>
    </row>
    <row r="51" spans="1:12" x14ac:dyDescent="0.25">
      <c r="A51" s="275"/>
      <c r="B51" s="275"/>
      <c r="C51" s="275"/>
      <c r="D51" s="275"/>
      <c r="E51" s="275"/>
      <c r="F51" s="275"/>
      <c r="G51" s="128" t="s">
        <v>33</v>
      </c>
      <c r="H51" s="128" t="s">
        <v>34</v>
      </c>
      <c r="I51" s="128" t="s">
        <v>35</v>
      </c>
      <c r="J51" s="128" t="s">
        <v>33</v>
      </c>
      <c r="K51" s="128" t="s">
        <v>34</v>
      </c>
    </row>
    <row r="52" spans="1:12" x14ac:dyDescent="0.25">
      <c r="A52" s="128" t="s">
        <v>754</v>
      </c>
      <c r="B52" s="22" t="s">
        <v>753</v>
      </c>
      <c r="C52" s="23">
        <v>1</v>
      </c>
      <c r="D52" s="23">
        <v>171</v>
      </c>
      <c r="E52" s="24"/>
      <c r="F52" s="23">
        <v>1</v>
      </c>
      <c r="G52" s="25">
        <v>171</v>
      </c>
      <c r="H52" s="26"/>
      <c r="I52" s="26"/>
      <c r="J52" s="26">
        <v>171</v>
      </c>
      <c r="K52" s="26"/>
    </row>
    <row r="53" spans="1:12" ht="22.5" x14ac:dyDescent="0.25">
      <c r="A53" s="27"/>
      <c r="B53" s="22" t="s">
        <v>755</v>
      </c>
      <c r="C53" s="28"/>
      <c r="D53" s="28"/>
      <c r="E53" s="28"/>
      <c r="F53" s="272" t="s">
        <v>36</v>
      </c>
      <c r="G53" s="272"/>
      <c r="H53" s="272"/>
      <c r="I53" s="29"/>
      <c r="J53" s="29">
        <v>171</v>
      </c>
      <c r="K53" s="29">
        <v>0</v>
      </c>
    </row>
    <row r="54" spans="1:12" x14ac:dyDescent="0.25">
      <c r="A54" s="128"/>
      <c r="B54" s="273"/>
      <c r="C54" s="273"/>
      <c r="D54" s="273"/>
      <c r="E54" s="273"/>
      <c r="F54" s="273"/>
      <c r="G54" s="273"/>
      <c r="H54" s="273"/>
      <c r="I54" s="273"/>
      <c r="J54" s="273"/>
      <c r="K54" s="128"/>
    </row>
    <row r="55" spans="1:12" x14ac:dyDescent="0.25">
      <c r="A55" s="19" t="str">
        <f>'Lista de Serviços'!A62</f>
        <v>02.02.330</v>
      </c>
      <c r="B55" s="274" t="str">
        <f>'Lista de Serviços'!B63</f>
        <v>Retirada de entulho de obra em caçamba de aço com 5m³ de capacidade, inclusive carregamento do container, transporte e descarga</v>
      </c>
      <c r="C55" s="274"/>
      <c r="D55" s="274"/>
      <c r="E55" s="274"/>
      <c r="F55" s="274"/>
      <c r="G55" s="274"/>
      <c r="H55" s="274"/>
      <c r="I55" s="274"/>
      <c r="J55" s="274"/>
      <c r="K55" s="20"/>
      <c r="L55" s="18" t="s">
        <v>1412</v>
      </c>
    </row>
    <row r="56" spans="1:12" x14ac:dyDescent="0.25">
      <c r="A56" s="275"/>
      <c r="B56" s="275"/>
      <c r="C56" s="21"/>
      <c r="D56" s="21"/>
      <c r="E56" s="21"/>
      <c r="F56" s="21"/>
      <c r="G56" s="275" t="s">
        <v>23</v>
      </c>
      <c r="H56" s="275"/>
      <c r="I56" s="275" t="s">
        <v>24</v>
      </c>
      <c r="J56" s="275"/>
      <c r="K56" s="275"/>
    </row>
    <row r="57" spans="1:12" x14ac:dyDescent="0.25">
      <c r="A57" s="275" t="s">
        <v>25</v>
      </c>
      <c r="B57" s="275"/>
      <c r="C57" s="275" t="s">
        <v>26</v>
      </c>
      <c r="D57" s="275" t="s">
        <v>27</v>
      </c>
      <c r="E57" s="275" t="s">
        <v>28</v>
      </c>
      <c r="F57" s="275" t="s">
        <v>29</v>
      </c>
      <c r="G57" s="128" t="s">
        <v>30</v>
      </c>
      <c r="H57" s="128" t="s">
        <v>31</v>
      </c>
      <c r="I57" s="128" t="s">
        <v>32</v>
      </c>
      <c r="J57" s="128" t="s">
        <v>30</v>
      </c>
      <c r="K57" s="128" t="s">
        <v>31</v>
      </c>
    </row>
    <row r="58" spans="1:12" x14ac:dyDescent="0.25">
      <c r="A58" s="275"/>
      <c r="B58" s="275"/>
      <c r="C58" s="275"/>
      <c r="D58" s="275"/>
      <c r="E58" s="275"/>
      <c r="F58" s="275"/>
      <c r="G58" s="128" t="s">
        <v>33</v>
      </c>
      <c r="H58" s="128" t="s">
        <v>34</v>
      </c>
      <c r="I58" s="128" t="s">
        <v>35</v>
      </c>
      <c r="J58" s="128" t="s">
        <v>33</v>
      </c>
      <c r="K58" s="128" t="s">
        <v>34</v>
      </c>
    </row>
    <row r="59" spans="1:12" x14ac:dyDescent="0.25">
      <c r="A59" s="128"/>
      <c r="B59" s="22" t="s">
        <v>762</v>
      </c>
      <c r="C59" s="23">
        <v>1.3</v>
      </c>
      <c r="D59" s="23"/>
      <c r="E59" s="24"/>
      <c r="F59" s="23"/>
      <c r="G59" s="25"/>
      <c r="H59" s="26">
        <v>0.51</v>
      </c>
      <c r="I59" s="26"/>
      <c r="J59" s="26"/>
      <c r="K59" s="26">
        <v>0.66300000000000003</v>
      </c>
    </row>
    <row r="60" spans="1:12" x14ac:dyDescent="0.25">
      <c r="A60" s="128"/>
      <c r="B60" s="22" t="s">
        <v>764</v>
      </c>
      <c r="C60" s="23">
        <v>1.3</v>
      </c>
      <c r="D60" s="23"/>
      <c r="E60" s="24"/>
      <c r="F60" s="23"/>
      <c r="G60" s="25"/>
      <c r="H60" s="26">
        <v>1.35</v>
      </c>
      <c r="I60" s="26"/>
      <c r="J60" s="26"/>
      <c r="K60" s="26">
        <v>1.7550000000000001</v>
      </c>
    </row>
    <row r="61" spans="1:12" x14ac:dyDescent="0.25">
      <c r="A61" s="128"/>
      <c r="B61" s="22" t="s">
        <v>765</v>
      </c>
      <c r="C61" s="23">
        <v>1.3</v>
      </c>
      <c r="D61" s="23"/>
      <c r="E61" s="24"/>
      <c r="F61" s="23"/>
      <c r="G61" s="25"/>
      <c r="H61" s="26">
        <v>0.14000000000000001</v>
      </c>
      <c r="I61" s="26"/>
      <c r="J61" s="26"/>
      <c r="K61" s="26">
        <v>0.18200000000000002</v>
      </c>
    </row>
    <row r="62" spans="1:12" x14ac:dyDescent="0.25">
      <c r="A62" s="128"/>
      <c r="B62" s="22" t="s">
        <v>766</v>
      </c>
      <c r="C62" s="23">
        <v>1.3</v>
      </c>
      <c r="D62" s="23"/>
      <c r="E62" s="24"/>
      <c r="F62" s="23">
        <v>0.03</v>
      </c>
      <c r="G62" s="25">
        <v>273.49</v>
      </c>
      <c r="H62" s="26">
        <v>8.2047000000000008</v>
      </c>
      <c r="I62" s="26"/>
      <c r="J62" s="26"/>
      <c r="K62" s="26">
        <v>10.666110000000002</v>
      </c>
    </row>
    <row r="63" spans="1:12" x14ac:dyDescent="0.25">
      <c r="A63" s="128"/>
      <c r="B63" s="22" t="s">
        <v>767</v>
      </c>
      <c r="C63" s="23">
        <v>1.3</v>
      </c>
      <c r="D63" s="23"/>
      <c r="E63" s="24"/>
      <c r="F63" s="23">
        <v>0.02</v>
      </c>
      <c r="G63" s="25">
        <v>171</v>
      </c>
      <c r="H63" s="26">
        <v>3.42</v>
      </c>
      <c r="I63" s="26"/>
      <c r="J63" s="26"/>
      <c r="K63" s="26">
        <v>4.4459999999999997</v>
      </c>
    </row>
    <row r="64" spans="1:12" x14ac:dyDescent="0.25">
      <c r="A64" s="128"/>
      <c r="B64" s="22" t="s">
        <v>768</v>
      </c>
      <c r="C64" s="23">
        <v>1.3</v>
      </c>
      <c r="D64" s="23"/>
      <c r="E64" s="24"/>
      <c r="F64" s="23">
        <v>0.1</v>
      </c>
      <c r="G64" s="25">
        <v>2.8350000000000004</v>
      </c>
      <c r="H64" s="26">
        <v>0.28350000000000003</v>
      </c>
      <c r="I64" s="26"/>
      <c r="J64" s="26"/>
      <c r="K64" s="26">
        <v>0.36855000000000004</v>
      </c>
    </row>
    <row r="65" spans="1:12" x14ac:dyDescent="0.25">
      <c r="A65" s="128"/>
      <c r="B65" s="22" t="s">
        <v>769</v>
      </c>
      <c r="C65" s="23">
        <v>1.3</v>
      </c>
      <c r="D65" s="23">
        <v>0.4</v>
      </c>
      <c r="E65" s="24">
        <v>0.4</v>
      </c>
      <c r="F65" s="23">
        <v>0.4</v>
      </c>
      <c r="G65" s="25"/>
      <c r="H65" s="26">
        <v>6.4000000000000015E-2</v>
      </c>
      <c r="I65" s="26"/>
      <c r="J65" s="26"/>
      <c r="K65" s="26">
        <v>8.3200000000000024E-2</v>
      </c>
    </row>
    <row r="66" spans="1:12" ht="22.5" x14ac:dyDescent="0.25">
      <c r="A66" s="128"/>
      <c r="B66" s="22" t="s">
        <v>770</v>
      </c>
      <c r="C66" s="23">
        <v>1.3</v>
      </c>
      <c r="D66" s="23"/>
      <c r="E66" s="24"/>
      <c r="F66" s="23"/>
      <c r="G66" s="25"/>
      <c r="H66" s="26">
        <v>1</v>
      </c>
      <c r="I66" s="26"/>
      <c r="J66" s="26"/>
      <c r="K66" s="26">
        <v>1.3</v>
      </c>
    </row>
    <row r="67" spans="1:12" x14ac:dyDescent="0.25">
      <c r="A67" s="27"/>
      <c r="B67" s="28" t="s">
        <v>763</v>
      </c>
      <c r="C67" s="28"/>
      <c r="D67" s="28"/>
      <c r="E67" s="28"/>
      <c r="F67" s="272" t="s">
        <v>36</v>
      </c>
      <c r="G67" s="272"/>
      <c r="H67" s="272"/>
      <c r="I67" s="29"/>
      <c r="J67" s="29"/>
      <c r="K67" s="29">
        <v>19.46</v>
      </c>
    </row>
    <row r="68" spans="1:12" x14ac:dyDescent="0.25">
      <c r="A68" s="128"/>
      <c r="B68" s="273"/>
      <c r="C68" s="273"/>
      <c r="D68" s="273"/>
      <c r="E68" s="273"/>
      <c r="F68" s="273"/>
      <c r="G68" s="273"/>
      <c r="H68" s="273"/>
      <c r="I68" s="273"/>
      <c r="J68" s="273"/>
      <c r="K68" s="128"/>
    </row>
    <row r="69" spans="1:12" ht="28.5" customHeight="1" x14ac:dyDescent="0.25">
      <c r="A69" s="19" t="str">
        <f>'Lista de Serviços'!A75</f>
        <v>02.04.400</v>
      </c>
      <c r="B69" s="274" t="str">
        <f>'Lista de Serviços'!B76</f>
        <v>CARGA, MANOBRA E DESCARGA DE SOLOS E MATERIAIS GRANULARES EM CAMINHÃO BASCULANTE 6 M³ - CARGA COM ESCAVADEIRA HIDRÁULICA (CAÇAMBA DE 1,20 M³ / 155 HP) E DESCARGA LIVRE (UNIDADE: M3). AF_07/2020</v>
      </c>
      <c r="C69" s="274"/>
      <c r="D69" s="274"/>
      <c r="E69" s="274"/>
      <c r="F69" s="274"/>
      <c r="G69" s="274"/>
      <c r="H69" s="274"/>
      <c r="I69" s="274"/>
      <c r="J69" s="274"/>
      <c r="K69" s="20"/>
      <c r="L69" s="18" t="s">
        <v>1412</v>
      </c>
    </row>
    <row r="70" spans="1:12" x14ac:dyDescent="0.25">
      <c r="A70" s="275"/>
      <c r="B70" s="275"/>
      <c r="C70" s="21"/>
      <c r="D70" s="21"/>
      <c r="E70" s="21"/>
      <c r="F70" s="21"/>
      <c r="G70" s="275" t="s">
        <v>23</v>
      </c>
      <c r="H70" s="275"/>
      <c r="I70" s="275" t="s">
        <v>24</v>
      </c>
      <c r="J70" s="275"/>
      <c r="K70" s="275"/>
    </row>
    <row r="71" spans="1:12" x14ac:dyDescent="0.25">
      <c r="A71" s="275" t="s">
        <v>25</v>
      </c>
      <c r="B71" s="275"/>
      <c r="C71" s="275" t="s">
        <v>26</v>
      </c>
      <c r="D71" s="275" t="s">
        <v>27</v>
      </c>
      <c r="E71" s="275" t="s">
        <v>28</v>
      </c>
      <c r="F71" s="275" t="s">
        <v>29</v>
      </c>
      <c r="G71" s="134" t="s">
        <v>30</v>
      </c>
      <c r="H71" s="134" t="s">
        <v>31</v>
      </c>
      <c r="I71" s="134" t="s">
        <v>32</v>
      </c>
      <c r="J71" s="134" t="s">
        <v>30</v>
      </c>
      <c r="K71" s="134" t="s">
        <v>31</v>
      </c>
    </row>
    <row r="72" spans="1:12" x14ac:dyDescent="0.25">
      <c r="A72" s="275"/>
      <c r="B72" s="275"/>
      <c r="C72" s="275"/>
      <c r="D72" s="275"/>
      <c r="E72" s="275"/>
      <c r="F72" s="275"/>
      <c r="G72" s="134" t="s">
        <v>33</v>
      </c>
      <c r="H72" s="134" t="s">
        <v>34</v>
      </c>
      <c r="I72" s="134" t="s">
        <v>35</v>
      </c>
      <c r="J72" s="134" t="s">
        <v>33</v>
      </c>
      <c r="K72" s="134" t="s">
        <v>34</v>
      </c>
    </row>
    <row r="73" spans="1:12" x14ac:dyDescent="0.25">
      <c r="A73" s="134"/>
      <c r="B73" s="22" t="s">
        <v>822</v>
      </c>
      <c r="C73" s="23">
        <v>1</v>
      </c>
      <c r="D73" s="23"/>
      <c r="E73" s="24"/>
      <c r="F73" s="23">
        <v>0.15</v>
      </c>
      <c r="G73" s="25">
        <v>1975.85</v>
      </c>
      <c r="H73" s="26">
        <v>296.3775</v>
      </c>
      <c r="I73" s="26"/>
      <c r="J73" s="26"/>
      <c r="K73" s="26">
        <v>296.3775</v>
      </c>
    </row>
    <row r="74" spans="1:12" x14ac:dyDescent="0.25">
      <c r="A74" s="134"/>
      <c r="B74" s="22" t="s">
        <v>823</v>
      </c>
      <c r="C74" s="23">
        <v>1.25</v>
      </c>
      <c r="D74" s="277" t="s">
        <v>824</v>
      </c>
      <c r="E74" s="277"/>
      <c r="F74" s="277"/>
      <c r="G74" s="25"/>
      <c r="H74" s="26">
        <v>440.54</v>
      </c>
      <c r="I74" s="26"/>
      <c r="J74" s="26"/>
      <c r="K74" s="26">
        <v>550.67500000000007</v>
      </c>
    </row>
    <row r="75" spans="1:12" ht="25.5" customHeight="1" x14ac:dyDescent="0.25">
      <c r="A75" s="27"/>
      <c r="B75" s="276" t="s">
        <v>821</v>
      </c>
      <c r="C75" s="276"/>
      <c r="D75" s="276"/>
      <c r="E75" s="276"/>
      <c r="F75" s="272" t="s">
        <v>36</v>
      </c>
      <c r="G75" s="272"/>
      <c r="H75" s="272"/>
      <c r="I75" s="29"/>
      <c r="J75" s="29"/>
      <c r="K75" s="29">
        <v>847.05</v>
      </c>
    </row>
    <row r="76" spans="1:12" x14ac:dyDescent="0.25">
      <c r="A76" s="134"/>
      <c r="B76" s="273"/>
      <c r="C76" s="273"/>
      <c r="D76" s="273"/>
      <c r="E76" s="273"/>
      <c r="F76" s="273"/>
      <c r="G76" s="273"/>
      <c r="H76" s="273"/>
      <c r="I76" s="273"/>
      <c r="J76" s="273"/>
      <c r="K76" s="134"/>
    </row>
    <row r="77" spans="1:12" x14ac:dyDescent="0.25">
      <c r="A77" s="19" t="str">
        <f>'Lista de Serviços'!A81</f>
        <v>03.01.101</v>
      </c>
      <c r="B77" s="274" t="str">
        <f>'Lista de Serviços'!B82</f>
        <v>ESCAVAÇÃO MANUAL DE VALA PARA VIGA BALDRAME, COM PREVISÃO DE FÔRMA. AF_06/2017</v>
      </c>
      <c r="C77" s="274"/>
      <c r="D77" s="274"/>
      <c r="E77" s="274"/>
      <c r="F77" s="274"/>
      <c r="G77" s="274"/>
      <c r="H77" s="274"/>
      <c r="I77" s="274"/>
      <c r="J77" s="274"/>
      <c r="K77" s="20"/>
      <c r="L77" s="18" t="s">
        <v>1412</v>
      </c>
    </row>
    <row r="78" spans="1:12" x14ac:dyDescent="0.25">
      <c r="A78" s="275"/>
      <c r="B78" s="275"/>
      <c r="C78" s="21"/>
      <c r="D78" s="21"/>
      <c r="E78" s="21"/>
      <c r="F78" s="21"/>
      <c r="G78" s="275" t="s">
        <v>23</v>
      </c>
      <c r="H78" s="275"/>
      <c r="I78" s="275" t="s">
        <v>24</v>
      </c>
      <c r="J78" s="275"/>
      <c r="K78" s="275"/>
    </row>
    <row r="79" spans="1:12" x14ac:dyDescent="0.25">
      <c r="A79" s="275" t="s">
        <v>25</v>
      </c>
      <c r="B79" s="275"/>
      <c r="C79" s="275" t="s">
        <v>26</v>
      </c>
      <c r="D79" s="275" t="s">
        <v>27</v>
      </c>
      <c r="E79" s="275" t="s">
        <v>28</v>
      </c>
      <c r="F79" s="275" t="s">
        <v>29</v>
      </c>
      <c r="G79" s="150" t="s">
        <v>30</v>
      </c>
      <c r="H79" s="150" t="s">
        <v>31</v>
      </c>
      <c r="I79" s="150" t="s">
        <v>32</v>
      </c>
      <c r="J79" s="150" t="s">
        <v>30</v>
      </c>
      <c r="K79" s="150" t="s">
        <v>31</v>
      </c>
    </row>
    <row r="80" spans="1:12" x14ac:dyDescent="0.25">
      <c r="A80" s="275"/>
      <c r="B80" s="275"/>
      <c r="C80" s="275"/>
      <c r="D80" s="275"/>
      <c r="E80" s="275"/>
      <c r="F80" s="275"/>
      <c r="G80" s="150" t="s">
        <v>33</v>
      </c>
      <c r="H80" s="150" t="s">
        <v>34</v>
      </c>
      <c r="I80" s="150" t="s">
        <v>35</v>
      </c>
      <c r="J80" s="150" t="s">
        <v>33</v>
      </c>
      <c r="K80" s="150" t="s">
        <v>34</v>
      </c>
    </row>
    <row r="81" spans="1:12" ht="22.5" x14ac:dyDescent="0.25">
      <c r="A81" s="150"/>
      <c r="B81" s="22" t="s">
        <v>1413</v>
      </c>
      <c r="C81" s="152">
        <v>1.2</v>
      </c>
      <c r="D81" s="152"/>
      <c r="E81" s="24"/>
      <c r="F81" s="152"/>
      <c r="G81" s="25"/>
      <c r="H81" s="161">
        <v>26.56</v>
      </c>
      <c r="I81" s="26"/>
      <c r="J81" s="26"/>
      <c r="K81" s="26">
        <v>31.871999999999996</v>
      </c>
    </row>
    <row r="82" spans="1:12" x14ac:dyDescent="0.25">
      <c r="A82" s="151"/>
      <c r="B82" s="22"/>
      <c r="C82" s="28"/>
      <c r="D82" s="28"/>
      <c r="E82" s="28"/>
      <c r="F82" s="272" t="s">
        <v>36</v>
      </c>
      <c r="G82" s="272"/>
      <c r="H82" s="272"/>
      <c r="I82" s="29"/>
      <c r="J82" s="29"/>
      <c r="K82" s="29">
        <v>31.87</v>
      </c>
    </row>
    <row r="83" spans="1:12" x14ac:dyDescent="0.25">
      <c r="A83" s="150"/>
      <c r="B83" s="273"/>
      <c r="C83" s="273"/>
      <c r="D83" s="273"/>
      <c r="E83" s="273"/>
      <c r="F83" s="273"/>
      <c r="G83" s="273"/>
      <c r="H83" s="273"/>
      <c r="I83" s="273"/>
      <c r="J83" s="273"/>
      <c r="K83" s="150"/>
    </row>
    <row r="84" spans="1:12" x14ac:dyDescent="0.25">
      <c r="A84" s="19" t="str">
        <f>'Lista de Serviços'!A84</f>
        <v>03.01.602</v>
      </c>
      <c r="B84" s="274" t="str">
        <f>'Lista de Serviços'!B85</f>
        <v>IMPERMEABILIZAÇÃO DE SUPERFÍCIE COM EMULSÃO ASFÁLTICA, 3 DEMÃOS</v>
      </c>
      <c r="C84" s="274"/>
      <c r="D84" s="274"/>
      <c r="E84" s="274"/>
      <c r="F84" s="274"/>
      <c r="G84" s="274"/>
      <c r="H84" s="274"/>
      <c r="I84" s="274"/>
      <c r="J84" s="274"/>
      <c r="K84" s="20"/>
      <c r="L84" s="18" t="s">
        <v>1412</v>
      </c>
    </row>
    <row r="85" spans="1:12" x14ac:dyDescent="0.25">
      <c r="A85" s="275"/>
      <c r="B85" s="275"/>
      <c r="C85" s="21"/>
      <c r="D85" s="21"/>
      <c r="E85" s="21"/>
      <c r="F85" s="21"/>
      <c r="G85" s="275" t="s">
        <v>23</v>
      </c>
      <c r="H85" s="275"/>
      <c r="I85" s="275" t="s">
        <v>24</v>
      </c>
      <c r="J85" s="275"/>
      <c r="K85" s="275"/>
    </row>
    <row r="86" spans="1:12" x14ac:dyDescent="0.25">
      <c r="A86" s="275" t="s">
        <v>25</v>
      </c>
      <c r="B86" s="275"/>
      <c r="C86" s="275" t="s">
        <v>26</v>
      </c>
      <c r="D86" s="275" t="s">
        <v>27</v>
      </c>
      <c r="E86" s="275" t="s">
        <v>28</v>
      </c>
      <c r="F86" s="275" t="s">
        <v>29</v>
      </c>
      <c r="G86" s="128" t="s">
        <v>30</v>
      </c>
      <c r="H86" s="128" t="s">
        <v>31</v>
      </c>
      <c r="I86" s="128" t="s">
        <v>32</v>
      </c>
      <c r="J86" s="128" t="s">
        <v>30</v>
      </c>
      <c r="K86" s="128" t="s">
        <v>31</v>
      </c>
    </row>
    <row r="87" spans="1:12" x14ac:dyDescent="0.25">
      <c r="A87" s="275"/>
      <c r="B87" s="275"/>
      <c r="C87" s="275"/>
      <c r="D87" s="275"/>
      <c r="E87" s="275"/>
      <c r="F87" s="275"/>
      <c r="G87" s="128" t="s">
        <v>33</v>
      </c>
      <c r="H87" s="128" t="s">
        <v>34</v>
      </c>
      <c r="I87" s="128" t="s">
        <v>35</v>
      </c>
      <c r="J87" s="128" t="s">
        <v>33</v>
      </c>
      <c r="K87" s="128" t="s">
        <v>34</v>
      </c>
    </row>
    <row r="88" spans="1:12" ht="22.5" x14ac:dyDescent="0.25">
      <c r="A88" s="128"/>
      <c r="B88" s="22" t="s">
        <v>781</v>
      </c>
      <c r="C88" s="23">
        <v>1</v>
      </c>
      <c r="D88" s="23">
        <v>153.6</v>
      </c>
      <c r="E88" s="24"/>
      <c r="F88" s="23">
        <v>0.25</v>
      </c>
      <c r="G88" s="25">
        <v>38.4</v>
      </c>
      <c r="H88" s="26"/>
      <c r="I88" s="26"/>
      <c r="J88" s="26">
        <v>38.4</v>
      </c>
      <c r="K88" s="26"/>
    </row>
    <row r="89" spans="1:12" x14ac:dyDescent="0.25">
      <c r="A89" s="148"/>
      <c r="B89" s="22" t="s">
        <v>917</v>
      </c>
      <c r="C89" s="149">
        <v>1</v>
      </c>
      <c r="D89" s="149"/>
      <c r="E89" s="24"/>
      <c r="F89" s="149"/>
      <c r="G89" s="25">
        <v>404.35</v>
      </c>
      <c r="H89" s="26"/>
      <c r="I89" s="26"/>
      <c r="J89" s="26">
        <v>404.35</v>
      </c>
      <c r="K89" s="26"/>
    </row>
    <row r="90" spans="1:12" ht="33.75" x14ac:dyDescent="0.25">
      <c r="A90" s="27"/>
      <c r="B90" s="111" t="s">
        <v>782</v>
      </c>
      <c r="C90" s="28"/>
      <c r="D90" s="28"/>
      <c r="E90" s="28"/>
      <c r="F90" s="272" t="s">
        <v>36</v>
      </c>
      <c r="G90" s="272"/>
      <c r="H90" s="272"/>
      <c r="I90" s="29"/>
      <c r="J90" s="29">
        <v>442.75</v>
      </c>
      <c r="K90" s="29"/>
    </row>
    <row r="91" spans="1:12" x14ac:dyDescent="0.25">
      <c r="A91" s="128"/>
      <c r="B91" s="273"/>
      <c r="C91" s="273"/>
      <c r="D91" s="273"/>
      <c r="E91" s="273"/>
      <c r="F91" s="273"/>
      <c r="G91" s="273"/>
      <c r="H91" s="273"/>
      <c r="I91" s="273"/>
      <c r="J91" s="273"/>
      <c r="K91" s="128"/>
    </row>
    <row r="92" spans="1:12" x14ac:dyDescent="0.25">
      <c r="A92" s="19" t="str">
        <f>'Lista de Serviços'!A86</f>
        <v>03.02.000</v>
      </c>
      <c r="B92" s="274" t="str">
        <f>'Lista de Serviços'!B87</f>
        <v>Limpeza de armadura com escova de aço</v>
      </c>
      <c r="C92" s="274"/>
      <c r="D92" s="274"/>
      <c r="E92" s="274"/>
      <c r="F92" s="274"/>
      <c r="G92" s="274"/>
      <c r="H92" s="274"/>
      <c r="I92" s="274"/>
      <c r="J92" s="274"/>
      <c r="K92" s="20"/>
      <c r="L92" s="18" t="s">
        <v>1412</v>
      </c>
    </row>
    <row r="93" spans="1:12" x14ac:dyDescent="0.25">
      <c r="A93" s="275"/>
      <c r="B93" s="275"/>
      <c r="C93" s="21"/>
      <c r="D93" s="21"/>
      <c r="E93" s="21"/>
      <c r="F93" s="21"/>
      <c r="G93" s="275" t="s">
        <v>23</v>
      </c>
      <c r="H93" s="275"/>
      <c r="I93" s="275" t="s">
        <v>24</v>
      </c>
      <c r="J93" s="275"/>
      <c r="K93" s="275"/>
    </row>
    <row r="94" spans="1:12" x14ac:dyDescent="0.25">
      <c r="A94" s="275" t="s">
        <v>25</v>
      </c>
      <c r="B94" s="275"/>
      <c r="C94" s="275" t="s">
        <v>26</v>
      </c>
      <c r="D94" s="275" t="s">
        <v>27</v>
      </c>
      <c r="E94" s="275" t="s">
        <v>28</v>
      </c>
      <c r="F94" s="275" t="s">
        <v>29</v>
      </c>
      <c r="G94" s="129" t="s">
        <v>30</v>
      </c>
      <c r="H94" s="129" t="s">
        <v>31</v>
      </c>
      <c r="I94" s="129" t="s">
        <v>32</v>
      </c>
      <c r="J94" s="129" t="s">
        <v>30</v>
      </c>
      <c r="K94" s="129" t="s">
        <v>31</v>
      </c>
    </row>
    <row r="95" spans="1:12" x14ac:dyDescent="0.25">
      <c r="A95" s="275"/>
      <c r="B95" s="275"/>
      <c r="C95" s="275"/>
      <c r="D95" s="275"/>
      <c r="E95" s="275"/>
      <c r="F95" s="275"/>
      <c r="G95" s="129" t="s">
        <v>33</v>
      </c>
      <c r="H95" s="129" t="s">
        <v>34</v>
      </c>
      <c r="I95" s="129" t="s">
        <v>35</v>
      </c>
      <c r="J95" s="129" t="s">
        <v>33</v>
      </c>
      <c r="K95" s="129" t="s">
        <v>34</v>
      </c>
    </row>
    <row r="96" spans="1:12" x14ac:dyDescent="0.25">
      <c r="A96" s="129"/>
      <c r="B96" s="22" t="s">
        <v>785</v>
      </c>
      <c r="C96" s="23">
        <v>76</v>
      </c>
      <c r="D96" s="23"/>
      <c r="E96" s="24"/>
      <c r="F96" s="23"/>
      <c r="G96" s="25">
        <v>0.1</v>
      </c>
      <c r="H96" s="26"/>
      <c r="I96" s="26"/>
      <c r="J96" s="26">
        <v>7.6000000000000005</v>
      </c>
      <c r="K96" s="26"/>
    </row>
    <row r="97" spans="1:12" x14ac:dyDescent="0.25">
      <c r="A97" s="27"/>
      <c r="B97" s="22"/>
      <c r="C97" s="28"/>
      <c r="D97" s="28"/>
      <c r="E97" s="28"/>
      <c r="F97" s="272" t="s">
        <v>36</v>
      </c>
      <c r="G97" s="272"/>
      <c r="H97" s="272"/>
      <c r="I97" s="29"/>
      <c r="J97" s="29">
        <v>7.6</v>
      </c>
      <c r="K97" s="29"/>
    </row>
    <row r="98" spans="1:12" x14ac:dyDescent="0.25">
      <c r="A98" s="129"/>
      <c r="B98" s="273"/>
      <c r="C98" s="273"/>
      <c r="D98" s="273"/>
      <c r="E98" s="273"/>
      <c r="F98" s="273"/>
      <c r="G98" s="273"/>
      <c r="H98" s="273"/>
      <c r="I98" s="273"/>
      <c r="J98" s="273"/>
      <c r="K98" s="129"/>
    </row>
    <row r="99" spans="1:12" ht="36" customHeight="1" x14ac:dyDescent="0.25">
      <c r="A99" s="19" t="str">
        <f>'Lista de Serviços'!A88</f>
        <v>03.02.110</v>
      </c>
      <c r="B99" s="274" t="str">
        <f>'Lista de Serviços'!B89</f>
        <v>MONTAGEM E DESMONTAGEM DE FÔRMA DE PILARES RETANGULARES E ESTRUTURAS SIMILARES COM ÁREA MÉDIA DAS SEÇÕES MENOR OU IGUAL A 0,25 M², PÉ-DIREITO SIMPLES, EM CHAPA DE MADEIRA COMPENSADA PLASTIFICADA, 10 UTILIZAÇÕES. AF_12/2015</v>
      </c>
      <c r="C99" s="274"/>
      <c r="D99" s="274"/>
      <c r="E99" s="274"/>
      <c r="F99" s="274"/>
      <c r="G99" s="274"/>
      <c r="H99" s="274"/>
      <c r="I99" s="274"/>
      <c r="J99" s="274"/>
      <c r="K99" s="20"/>
      <c r="L99" s="18" t="s">
        <v>1412</v>
      </c>
    </row>
    <row r="100" spans="1:12" x14ac:dyDescent="0.25">
      <c r="A100" s="275"/>
      <c r="B100" s="275"/>
      <c r="C100" s="21"/>
      <c r="D100" s="21"/>
      <c r="E100" s="21"/>
      <c r="F100" s="21"/>
      <c r="G100" s="275" t="s">
        <v>23</v>
      </c>
      <c r="H100" s="275"/>
      <c r="I100" s="275" t="s">
        <v>24</v>
      </c>
      <c r="J100" s="275"/>
      <c r="K100" s="275"/>
    </row>
    <row r="101" spans="1:12" x14ac:dyDescent="0.25">
      <c r="A101" s="275" t="s">
        <v>25</v>
      </c>
      <c r="B101" s="275"/>
      <c r="C101" s="275" t="s">
        <v>26</v>
      </c>
      <c r="D101" s="275" t="s">
        <v>27</v>
      </c>
      <c r="E101" s="275" t="s">
        <v>28</v>
      </c>
      <c r="F101" s="275" t="s">
        <v>29</v>
      </c>
      <c r="G101" s="119" t="s">
        <v>30</v>
      </c>
      <c r="H101" s="119" t="s">
        <v>31</v>
      </c>
      <c r="I101" s="119" t="s">
        <v>32</v>
      </c>
      <c r="J101" s="119" t="s">
        <v>30</v>
      </c>
      <c r="K101" s="119" t="s">
        <v>31</v>
      </c>
    </row>
    <row r="102" spans="1:12" x14ac:dyDescent="0.25">
      <c r="A102" s="275"/>
      <c r="B102" s="275"/>
      <c r="C102" s="275"/>
      <c r="D102" s="275"/>
      <c r="E102" s="275"/>
      <c r="F102" s="275"/>
      <c r="G102" s="119" t="s">
        <v>33</v>
      </c>
      <c r="H102" s="119" t="s">
        <v>34</v>
      </c>
      <c r="I102" s="119" t="s">
        <v>35</v>
      </c>
      <c r="J102" s="119" t="s">
        <v>33</v>
      </c>
      <c r="K102" s="119" t="s">
        <v>34</v>
      </c>
    </row>
    <row r="103" spans="1:12" x14ac:dyDescent="0.25">
      <c r="A103" s="119"/>
      <c r="B103" s="22" t="s">
        <v>577</v>
      </c>
      <c r="C103" s="23">
        <v>1</v>
      </c>
      <c r="D103" s="23"/>
      <c r="E103" s="24">
        <v>0.76</v>
      </c>
      <c r="F103" s="23">
        <v>2.65</v>
      </c>
      <c r="G103" s="25">
        <v>2.0139999999999998</v>
      </c>
      <c r="H103" s="26"/>
      <c r="I103" s="26"/>
      <c r="J103" s="26">
        <v>2.0139999999999998</v>
      </c>
      <c r="K103" s="26"/>
    </row>
    <row r="104" spans="1:12" x14ac:dyDescent="0.25">
      <c r="A104" s="119"/>
      <c r="B104" s="22" t="s">
        <v>578</v>
      </c>
      <c r="C104" s="23">
        <v>1</v>
      </c>
      <c r="D104" s="23"/>
      <c r="E104" s="24">
        <v>0.76</v>
      </c>
      <c r="F104" s="23">
        <v>2.0499999999999998</v>
      </c>
      <c r="G104" s="25">
        <v>1.5579999999999998</v>
      </c>
      <c r="H104" s="26"/>
      <c r="I104" s="26"/>
      <c r="J104" s="26">
        <v>1.5579999999999998</v>
      </c>
      <c r="K104" s="26"/>
    </row>
    <row r="105" spans="1:12" x14ac:dyDescent="0.25">
      <c r="A105" s="119"/>
      <c r="B105" s="22" t="s">
        <v>579</v>
      </c>
      <c r="C105" s="23">
        <v>1</v>
      </c>
      <c r="D105" s="23"/>
      <c r="E105" s="24">
        <v>0.76</v>
      </c>
      <c r="F105" s="23">
        <v>2.0499999999999998</v>
      </c>
      <c r="G105" s="25">
        <v>1.5579999999999998</v>
      </c>
      <c r="H105" s="26"/>
      <c r="I105" s="26"/>
      <c r="J105" s="26">
        <v>1.5579999999999998</v>
      </c>
      <c r="K105" s="26"/>
    </row>
    <row r="106" spans="1:12" x14ac:dyDescent="0.25">
      <c r="A106" s="27"/>
      <c r="B106" s="28"/>
      <c r="C106" s="28"/>
      <c r="D106" s="28"/>
      <c r="E106" s="28"/>
      <c r="F106" s="272" t="s">
        <v>36</v>
      </c>
      <c r="G106" s="272"/>
      <c r="H106" s="272"/>
      <c r="I106" s="29"/>
      <c r="J106" s="29">
        <v>5.13</v>
      </c>
      <c r="K106" s="29">
        <v>0</v>
      </c>
    </row>
    <row r="107" spans="1:12" x14ac:dyDescent="0.25">
      <c r="A107" s="119"/>
      <c r="B107" s="273"/>
      <c r="C107" s="273"/>
      <c r="D107" s="273"/>
      <c r="E107" s="273"/>
      <c r="F107" s="273"/>
      <c r="G107" s="273"/>
      <c r="H107" s="273"/>
      <c r="I107" s="273"/>
      <c r="J107" s="273"/>
      <c r="K107" s="119"/>
    </row>
    <row r="108" spans="1:12" ht="25.5" customHeight="1" x14ac:dyDescent="0.25">
      <c r="A108" s="19" t="str">
        <f>'Lista de Serviços'!A88</f>
        <v>03.02.110</v>
      </c>
      <c r="B108" s="274" t="str">
        <f>'Lista de Serviços'!B90</f>
        <v>CONCRETAGEM DE PILARES, FCK = 40 MPA, COM USO DE BOMBA EM EDIFICAÇÃO COM SEÇÃO MÉDIA DE PILARES MENOR OU IGUAL A 0,25 M² - LANÇAMENTO, ADENSAMENTO E ACABAMENTO. AF_12/2015</v>
      </c>
      <c r="C108" s="274"/>
      <c r="D108" s="274"/>
      <c r="E108" s="274"/>
      <c r="F108" s="274"/>
      <c r="G108" s="274"/>
      <c r="H108" s="274"/>
      <c r="I108" s="274"/>
      <c r="J108" s="274"/>
      <c r="K108" s="20"/>
      <c r="L108" s="18" t="s">
        <v>1412</v>
      </c>
    </row>
    <row r="109" spans="1:12" x14ac:dyDescent="0.25">
      <c r="A109" s="275"/>
      <c r="B109" s="275"/>
      <c r="C109" s="21"/>
      <c r="D109" s="21"/>
      <c r="E109" s="21"/>
      <c r="F109" s="21"/>
      <c r="G109" s="275" t="s">
        <v>23</v>
      </c>
      <c r="H109" s="275"/>
      <c r="I109" s="275" t="s">
        <v>24</v>
      </c>
      <c r="J109" s="275"/>
      <c r="K109" s="275"/>
    </row>
    <row r="110" spans="1:12" x14ac:dyDescent="0.25">
      <c r="A110" s="275" t="s">
        <v>25</v>
      </c>
      <c r="B110" s="275"/>
      <c r="C110" s="275" t="s">
        <v>26</v>
      </c>
      <c r="D110" s="275" t="s">
        <v>27</v>
      </c>
      <c r="E110" s="275" t="s">
        <v>28</v>
      </c>
      <c r="F110" s="275" t="s">
        <v>29</v>
      </c>
      <c r="G110" s="119" t="s">
        <v>30</v>
      </c>
      <c r="H110" s="119" t="s">
        <v>31</v>
      </c>
      <c r="I110" s="119" t="s">
        <v>32</v>
      </c>
      <c r="J110" s="119" t="s">
        <v>30</v>
      </c>
      <c r="K110" s="119" t="s">
        <v>31</v>
      </c>
    </row>
    <row r="111" spans="1:12" x14ac:dyDescent="0.25">
      <c r="A111" s="275"/>
      <c r="B111" s="275"/>
      <c r="C111" s="275"/>
      <c r="D111" s="275"/>
      <c r="E111" s="275"/>
      <c r="F111" s="275"/>
      <c r="G111" s="119" t="s">
        <v>33</v>
      </c>
      <c r="H111" s="119" t="s">
        <v>34</v>
      </c>
      <c r="I111" s="119" t="s">
        <v>35</v>
      </c>
      <c r="J111" s="119" t="s">
        <v>33</v>
      </c>
      <c r="K111" s="119" t="s">
        <v>34</v>
      </c>
    </row>
    <row r="112" spans="1:12" x14ac:dyDescent="0.25">
      <c r="A112" s="119"/>
      <c r="B112" s="22" t="s">
        <v>577</v>
      </c>
      <c r="C112" s="23">
        <v>1</v>
      </c>
      <c r="D112" s="23">
        <v>0.19</v>
      </c>
      <c r="E112" s="24">
        <v>0.19</v>
      </c>
      <c r="F112" s="23">
        <v>2.65</v>
      </c>
      <c r="G112" s="25"/>
      <c r="H112" s="26">
        <v>9.5664999999999986E-2</v>
      </c>
      <c r="I112" s="26"/>
      <c r="J112" s="26"/>
      <c r="K112" s="26">
        <v>9.5664999999999986E-2</v>
      </c>
    </row>
    <row r="113" spans="1:12" x14ac:dyDescent="0.25">
      <c r="A113" s="119"/>
      <c r="B113" s="22" t="s">
        <v>578</v>
      </c>
      <c r="C113" s="23">
        <v>1</v>
      </c>
      <c r="D113" s="23">
        <v>0.19</v>
      </c>
      <c r="E113" s="24">
        <v>0.19</v>
      </c>
      <c r="F113" s="23">
        <v>2.0499999999999998</v>
      </c>
      <c r="G113" s="25"/>
      <c r="H113" s="26">
        <v>7.4004999999999987E-2</v>
      </c>
      <c r="I113" s="26"/>
      <c r="J113" s="26"/>
      <c r="K113" s="26">
        <v>7.4004999999999987E-2</v>
      </c>
    </row>
    <row r="114" spans="1:12" x14ac:dyDescent="0.25">
      <c r="A114" s="119"/>
      <c r="B114" s="22" t="s">
        <v>579</v>
      </c>
      <c r="C114" s="23">
        <v>1</v>
      </c>
      <c r="D114" s="23">
        <v>0.19</v>
      </c>
      <c r="E114" s="24">
        <v>0.19</v>
      </c>
      <c r="F114" s="23">
        <v>2.0499999999999998</v>
      </c>
      <c r="G114" s="25"/>
      <c r="H114" s="26">
        <v>7.4004999999999987E-2</v>
      </c>
      <c r="I114" s="26"/>
      <c r="J114" s="26"/>
      <c r="K114" s="26">
        <v>7.4004999999999987E-2</v>
      </c>
    </row>
    <row r="115" spans="1:12" x14ac:dyDescent="0.25">
      <c r="A115" s="27"/>
      <c r="B115" s="28"/>
      <c r="C115" s="28"/>
      <c r="D115" s="28"/>
      <c r="E115" s="28"/>
      <c r="F115" s="272" t="s">
        <v>36</v>
      </c>
      <c r="G115" s="272"/>
      <c r="H115" s="272"/>
      <c r="I115" s="29"/>
      <c r="J115" s="29"/>
      <c r="K115" s="29">
        <v>0.24</v>
      </c>
    </row>
    <row r="116" spans="1:12" x14ac:dyDescent="0.25">
      <c r="A116" s="119"/>
      <c r="B116" s="273"/>
      <c r="C116" s="273"/>
      <c r="D116" s="273"/>
      <c r="E116" s="273"/>
      <c r="F116" s="273"/>
      <c r="G116" s="273"/>
      <c r="H116" s="273"/>
      <c r="I116" s="273"/>
      <c r="J116" s="273"/>
      <c r="K116" s="119"/>
    </row>
    <row r="117" spans="1:12" x14ac:dyDescent="0.25">
      <c r="A117" s="19" t="str">
        <f>'Lista de Serviços'!A108</f>
        <v>03.02.135</v>
      </c>
      <c r="B117" s="274" t="s">
        <v>470</v>
      </c>
      <c r="C117" s="274"/>
      <c r="D117" s="274"/>
      <c r="E117" s="274"/>
      <c r="F117" s="274"/>
      <c r="G117" s="274"/>
      <c r="H117" s="274"/>
      <c r="I117" s="274"/>
      <c r="J117" s="274"/>
      <c r="K117" s="20"/>
      <c r="L117" s="18" t="s">
        <v>1412</v>
      </c>
    </row>
    <row r="118" spans="1:12" x14ac:dyDescent="0.25">
      <c r="A118" s="275"/>
      <c r="B118" s="275"/>
      <c r="C118" s="21"/>
      <c r="D118" s="21"/>
      <c r="E118" s="21"/>
      <c r="F118" s="21"/>
      <c r="G118" s="275" t="s">
        <v>23</v>
      </c>
      <c r="H118" s="275"/>
      <c r="I118" s="275" t="s">
        <v>24</v>
      </c>
      <c r="J118" s="275"/>
      <c r="K118" s="275"/>
    </row>
    <row r="119" spans="1:12" x14ac:dyDescent="0.25">
      <c r="A119" s="275" t="s">
        <v>25</v>
      </c>
      <c r="B119" s="275"/>
      <c r="C119" s="275" t="s">
        <v>26</v>
      </c>
      <c r="D119" s="275" t="s">
        <v>27</v>
      </c>
      <c r="E119" s="275" t="s">
        <v>28</v>
      </c>
      <c r="F119" s="275" t="s">
        <v>29</v>
      </c>
      <c r="G119" s="113" t="s">
        <v>30</v>
      </c>
      <c r="H119" s="113" t="s">
        <v>31</v>
      </c>
      <c r="I119" s="113" t="s">
        <v>32</v>
      </c>
      <c r="J119" s="113" t="s">
        <v>30</v>
      </c>
      <c r="K119" s="113" t="s">
        <v>31</v>
      </c>
    </row>
    <row r="120" spans="1:12" x14ac:dyDescent="0.25">
      <c r="A120" s="275"/>
      <c r="B120" s="275"/>
      <c r="C120" s="275"/>
      <c r="D120" s="275"/>
      <c r="E120" s="275"/>
      <c r="F120" s="275"/>
      <c r="G120" s="113" t="s">
        <v>33</v>
      </c>
      <c r="H120" s="113" t="s">
        <v>34</v>
      </c>
      <c r="I120" s="113" t="s">
        <v>35</v>
      </c>
      <c r="J120" s="113" t="s">
        <v>33</v>
      </c>
      <c r="K120" s="113" t="s">
        <v>34</v>
      </c>
    </row>
    <row r="121" spans="1:12" x14ac:dyDescent="0.25">
      <c r="A121" s="113"/>
      <c r="B121" s="22" t="s">
        <v>474</v>
      </c>
      <c r="C121" s="23">
        <v>1</v>
      </c>
      <c r="D121" s="23">
        <v>0.94</v>
      </c>
      <c r="E121" s="24">
        <v>4.45</v>
      </c>
      <c r="F121" s="23"/>
      <c r="G121" s="25">
        <v>4.1829999999999998</v>
      </c>
      <c r="H121" s="26"/>
      <c r="I121" s="26"/>
      <c r="J121" s="26">
        <v>4.1829999999999998</v>
      </c>
      <c r="K121" s="26"/>
    </row>
    <row r="122" spans="1:12" x14ac:dyDescent="0.25">
      <c r="A122" s="113"/>
      <c r="B122" s="22" t="s">
        <v>475</v>
      </c>
      <c r="C122" s="23">
        <v>1</v>
      </c>
      <c r="D122" s="23">
        <v>0.94</v>
      </c>
      <c r="E122" s="24">
        <v>3</v>
      </c>
      <c r="F122" s="23"/>
      <c r="G122" s="25">
        <v>2.82</v>
      </c>
      <c r="H122" s="26"/>
      <c r="I122" s="26"/>
      <c r="J122" s="26">
        <v>2.82</v>
      </c>
      <c r="K122" s="26"/>
    </row>
    <row r="123" spans="1:12" x14ac:dyDescent="0.25">
      <c r="A123" s="113"/>
      <c r="B123" s="22" t="s">
        <v>478</v>
      </c>
      <c r="C123" s="23">
        <v>1</v>
      </c>
      <c r="D123" s="23">
        <v>0.94</v>
      </c>
      <c r="E123" s="24">
        <v>6.1</v>
      </c>
      <c r="F123" s="23"/>
      <c r="G123" s="25">
        <v>5.7339999999999991</v>
      </c>
      <c r="H123" s="26"/>
      <c r="I123" s="26"/>
      <c r="J123" s="26">
        <v>5.7339999999999991</v>
      </c>
      <c r="K123" s="26"/>
    </row>
    <row r="124" spans="1:12" x14ac:dyDescent="0.25">
      <c r="A124" s="113"/>
      <c r="B124" s="22" t="s">
        <v>496</v>
      </c>
      <c r="C124" s="23">
        <v>1</v>
      </c>
      <c r="D124" s="23">
        <v>1.94</v>
      </c>
      <c r="E124" s="24"/>
      <c r="F124" s="23">
        <v>0.3</v>
      </c>
      <c r="G124" s="25">
        <v>0.58199999999999996</v>
      </c>
      <c r="H124" s="26"/>
      <c r="I124" s="26"/>
      <c r="J124" s="26">
        <v>0.58199999999999996</v>
      </c>
      <c r="K124" s="26"/>
    </row>
    <row r="125" spans="1:12" x14ac:dyDescent="0.25">
      <c r="A125" s="113"/>
      <c r="B125" s="22" t="s">
        <v>497</v>
      </c>
      <c r="C125" s="23">
        <v>1</v>
      </c>
      <c r="D125" s="23">
        <v>3.54</v>
      </c>
      <c r="E125" s="24"/>
      <c r="F125" s="23">
        <v>0.7</v>
      </c>
      <c r="G125" s="25">
        <v>2.4779999999999998</v>
      </c>
      <c r="H125" s="26"/>
      <c r="I125" s="26"/>
      <c r="J125" s="26">
        <v>2.4779999999999998</v>
      </c>
      <c r="K125" s="26"/>
    </row>
    <row r="126" spans="1:12" x14ac:dyDescent="0.25">
      <c r="A126" s="113"/>
      <c r="B126" s="22" t="s">
        <v>498</v>
      </c>
      <c r="C126" s="23">
        <v>1</v>
      </c>
      <c r="D126" s="23">
        <v>1.94</v>
      </c>
      <c r="E126" s="24"/>
      <c r="F126" s="23">
        <v>0.1</v>
      </c>
      <c r="G126" s="25">
        <v>0.19400000000000001</v>
      </c>
      <c r="H126" s="26"/>
      <c r="I126" s="26"/>
      <c r="J126" s="26">
        <v>0.19400000000000001</v>
      </c>
      <c r="K126" s="26"/>
    </row>
    <row r="127" spans="1:12" x14ac:dyDescent="0.25">
      <c r="A127" s="113"/>
      <c r="B127" s="22" t="s">
        <v>499</v>
      </c>
      <c r="C127" s="23">
        <v>1</v>
      </c>
      <c r="D127" s="23">
        <v>1.04</v>
      </c>
      <c r="E127" s="24">
        <v>2.02</v>
      </c>
      <c r="F127" s="23"/>
      <c r="G127" s="25">
        <v>2.1008</v>
      </c>
      <c r="H127" s="26"/>
      <c r="I127" s="26"/>
      <c r="J127" s="26">
        <v>2.1008</v>
      </c>
      <c r="K127" s="26"/>
    </row>
    <row r="128" spans="1:12" x14ac:dyDescent="0.25">
      <c r="A128" s="113"/>
      <c r="B128" s="22" t="s">
        <v>480</v>
      </c>
      <c r="C128" s="23">
        <v>1</v>
      </c>
      <c r="D128" s="23">
        <v>0.9</v>
      </c>
      <c r="E128" s="24">
        <v>4.2</v>
      </c>
      <c r="F128" s="23"/>
      <c r="G128" s="25">
        <v>3.7800000000000002</v>
      </c>
      <c r="H128" s="26"/>
      <c r="I128" s="26"/>
      <c r="J128" s="26">
        <v>3.7800000000000002</v>
      </c>
      <c r="K128" s="26"/>
    </row>
    <row r="129" spans="1:11" x14ac:dyDescent="0.25">
      <c r="A129" s="113"/>
      <c r="B129" s="22" t="s">
        <v>500</v>
      </c>
      <c r="C129" s="23">
        <v>1</v>
      </c>
      <c r="D129" s="23">
        <v>1.54</v>
      </c>
      <c r="E129" s="24"/>
      <c r="F129" s="23">
        <v>0.23749999999999999</v>
      </c>
      <c r="G129" s="25">
        <v>0.36574999999999996</v>
      </c>
      <c r="H129" s="26"/>
      <c r="I129" s="26"/>
      <c r="J129" s="26">
        <v>0.36574999999999996</v>
      </c>
      <c r="K129" s="26"/>
    </row>
    <row r="130" spans="1:11" x14ac:dyDescent="0.25">
      <c r="A130" s="113"/>
      <c r="B130" s="22" t="s">
        <v>501</v>
      </c>
      <c r="C130" s="23">
        <v>1</v>
      </c>
      <c r="D130" s="23">
        <v>3.14</v>
      </c>
      <c r="E130" s="24"/>
      <c r="F130" s="23">
        <v>0.6</v>
      </c>
      <c r="G130" s="25">
        <v>1.8839999999999999</v>
      </c>
      <c r="H130" s="26"/>
      <c r="I130" s="26"/>
      <c r="J130" s="26">
        <v>1.8839999999999999</v>
      </c>
      <c r="K130" s="26"/>
    </row>
    <row r="131" spans="1:11" x14ac:dyDescent="0.25">
      <c r="A131" s="113"/>
      <c r="B131" s="22" t="s">
        <v>502</v>
      </c>
      <c r="C131" s="23">
        <v>1</v>
      </c>
      <c r="D131" s="23">
        <v>1.54</v>
      </c>
      <c r="E131" s="24"/>
      <c r="F131" s="23">
        <v>0.27500000000000002</v>
      </c>
      <c r="G131" s="25">
        <v>0.42350000000000004</v>
      </c>
      <c r="H131" s="26"/>
      <c r="I131" s="26"/>
      <c r="J131" s="26">
        <v>0.42350000000000004</v>
      </c>
      <c r="K131" s="26"/>
    </row>
    <row r="132" spans="1:11" x14ac:dyDescent="0.25">
      <c r="A132" s="113"/>
      <c r="B132" s="22" t="s">
        <v>503</v>
      </c>
      <c r="C132" s="23">
        <v>1</v>
      </c>
      <c r="D132" s="23">
        <v>3.14</v>
      </c>
      <c r="E132" s="24"/>
      <c r="F132" s="23">
        <v>0.6</v>
      </c>
      <c r="G132" s="25">
        <v>1.8839999999999999</v>
      </c>
      <c r="H132" s="26"/>
      <c r="I132" s="26"/>
      <c r="J132" s="26">
        <v>1.8839999999999999</v>
      </c>
      <c r="K132" s="26"/>
    </row>
    <row r="133" spans="1:11" x14ac:dyDescent="0.25">
      <c r="A133" s="113"/>
      <c r="B133" s="22" t="s">
        <v>504</v>
      </c>
      <c r="C133" s="23">
        <v>1</v>
      </c>
      <c r="D133" s="23">
        <v>1.54</v>
      </c>
      <c r="E133" s="24"/>
      <c r="F133" s="23">
        <v>0.23749999999999999</v>
      </c>
      <c r="G133" s="25">
        <v>0.36574999999999996</v>
      </c>
      <c r="H133" s="26"/>
      <c r="I133" s="26"/>
      <c r="J133" s="26">
        <v>0.36574999999999996</v>
      </c>
      <c r="K133" s="26"/>
    </row>
    <row r="134" spans="1:11" x14ac:dyDescent="0.25">
      <c r="A134" s="113"/>
      <c r="B134" s="22" t="s">
        <v>505</v>
      </c>
      <c r="C134" s="23">
        <v>1</v>
      </c>
      <c r="D134" s="23">
        <v>1.74</v>
      </c>
      <c r="E134" s="24"/>
      <c r="F134" s="23">
        <v>0.4</v>
      </c>
      <c r="G134" s="25">
        <v>0.69600000000000006</v>
      </c>
      <c r="H134" s="26"/>
      <c r="I134" s="26"/>
      <c r="J134" s="26">
        <v>0.69600000000000006</v>
      </c>
      <c r="K134" s="26"/>
    </row>
    <row r="135" spans="1:11" x14ac:dyDescent="0.25">
      <c r="A135" s="113"/>
      <c r="B135" s="22" t="s">
        <v>506</v>
      </c>
      <c r="C135" s="23">
        <v>1</v>
      </c>
      <c r="D135" s="23">
        <v>3.34</v>
      </c>
      <c r="E135" s="24"/>
      <c r="F135" s="23">
        <v>0.8</v>
      </c>
      <c r="G135" s="25">
        <v>2.6720000000000002</v>
      </c>
      <c r="H135" s="26"/>
      <c r="I135" s="26"/>
      <c r="J135" s="26">
        <v>2.6720000000000002</v>
      </c>
      <c r="K135" s="26"/>
    </row>
    <row r="136" spans="1:11" x14ac:dyDescent="0.25">
      <c r="A136" s="113"/>
      <c r="B136" s="22" t="s">
        <v>507</v>
      </c>
      <c r="C136" s="23">
        <v>1</v>
      </c>
      <c r="D136" s="23">
        <v>1.74</v>
      </c>
      <c r="E136" s="24"/>
      <c r="F136" s="23">
        <v>1.05</v>
      </c>
      <c r="G136" s="25">
        <v>1.827</v>
      </c>
      <c r="H136" s="26"/>
      <c r="I136" s="26"/>
      <c r="J136" s="26">
        <v>1.827</v>
      </c>
      <c r="K136" s="26"/>
    </row>
    <row r="137" spans="1:11" x14ac:dyDescent="0.25">
      <c r="A137" s="113"/>
      <c r="B137" s="22" t="s">
        <v>508</v>
      </c>
      <c r="C137" s="23">
        <v>1</v>
      </c>
      <c r="D137" s="23">
        <v>3.34</v>
      </c>
      <c r="E137" s="24"/>
      <c r="F137" s="23">
        <v>0.8</v>
      </c>
      <c r="G137" s="25">
        <v>2.6720000000000002</v>
      </c>
      <c r="H137" s="26"/>
      <c r="I137" s="26"/>
      <c r="J137" s="26">
        <v>2.6720000000000002</v>
      </c>
      <c r="K137" s="26"/>
    </row>
    <row r="138" spans="1:11" x14ac:dyDescent="0.25">
      <c r="A138" s="113"/>
      <c r="B138" s="22" t="s">
        <v>509</v>
      </c>
      <c r="C138" s="23">
        <v>1</v>
      </c>
      <c r="D138" s="23">
        <v>1.74</v>
      </c>
      <c r="E138" s="24"/>
      <c r="F138" s="23">
        <v>0.9</v>
      </c>
      <c r="G138" s="25">
        <v>1.5660000000000001</v>
      </c>
      <c r="H138" s="26"/>
      <c r="I138" s="26"/>
      <c r="J138" s="26">
        <v>1.5660000000000001</v>
      </c>
      <c r="K138" s="26"/>
    </row>
    <row r="139" spans="1:11" x14ac:dyDescent="0.25">
      <c r="A139" s="113"/>
      <c r="B139" s="22" t="s">
        <v>483</v>
      </c>
      <c r="C139" s="23">
        <v>1</v>
      </c>
      <c r="D139" s="23">
        <v>0.94</v>
      </c>
      <c r="E139" s="24">
        <v>4.4000000000000004</v>
      </c>
      <c r="F139" s="23"/>
      <c r="G139" s="25">
        <v>4.1360000000000001</v>
      </c>
      <c r="H139" s="26"/>
      <c r="I139" s="26"/>
      <c r="J139" s="26">
        <v>4.1360000000000001</v>
      </c>
      <c r="K139" s="26"/>
    </row>
    <row r="140" spans="1:11" x14ac:dyDescent="0.25">
      <c r="A140" s="113"/>
      <c r="B140" s="22" t="s">
        <v>484</v>
      </c>
      <c r="C140" s="23">
        <v>1</v>
      </c>
      <c r="D140" s="23">
        <v>1.04</v>
      </c>
      <c r="E140" s="24">
        <v>7.35</v>
      </c>
      <c r="F140" s="23"/>
      <c r="G140" s="25">
        <v>7.6440000000000001</v>
      </c>
      <c r="H140" s="26"/>
      <c r="I140" s="26"/>
      <c r="J140" s="26">
        <v>7.6440000000000001</v>
      </c>
      <c r="K140" s="26"/>
    </row>
    <row r="141" spans="1:11" x14ac:dyDescent="0.25">
      <c r="A141" s="113"/>
      <c r="B141" s="22" t="s">
        <v>510</v>
      </c>
      <c r="C141" s="23">
        <v>1</v>
      </c>
      <c r="D141" s="23">
        <v>1.74</v>
      </c>
      <c r="E141" s="24"/>
      <c r="F141" s="23">
        <v>0.3</v>
      </c>
      <c r="G141" s="25">
        <v>0.52200000000000002</v>
      </c>
      <c r="H141" s="26"/>
      <c r="I141" s="26"/>
      <c r="J141" s="26">
        <v>0.52200000000000002</v>
      </c>
      <c r="K141" s="26"/>
    </row>
    <row r="142" spans="1:11" x14ac:dyDescent="0.25">
      <c r="A142" s="113"/>
      <c r="B142" s="22" t="s">
        <v>511</v>
      </c>
      <c r="C142" s="23">
        <v>1</v>
      </c>
      <c r="D142" s="23">
        <v>3.34</v>
      </c>
      <c r="E142" s="24"/>
      <c r="F142" s="23">
        <v>0.8</v>
      </c>
      <c r="G142" s="25">
        <v>2.6720000000000002</v>
      </c>
      <c r="H142" s="26"/>
      <c r="I142" s="26"/>
      <c r="J142" s="26">
        <v>2.6720000000000002</v>
      </c>
      <c r="K142" s="26"/>
    </row>
    <row r="143" spans="1:11" x14ac:dyDescent="0.25">
      <c r="A143" s="113"/>
      <c r="B143" s="22" t="s">
        <v>512</v>
      </c>
      <c r="C143" s="23">
        <v>1</v>
      </c>
      <c r="D143" s="23">
        <v>1.74</v>
      </c>
      <c r="E143" s="24"/>
      <c r="F143" s="23">
        <v>1.625</v>
      </c>
      <c r="G143" s="25">
        <v>2.8275000000000001</v>
      </c>
      <c r="H143" s="26"/>
      <c r="I143" s="26"/>
      <c r="J143" s="26">
        <v>2.8275000000000001</v>
      </c>
      <c r="K143" s="26"/>
    </row>
    <row r="144" spans="1:11" x14ac:dyDescent="0.25">
      <c r="A144" s="113"/>
      <c r="B144" s="22" t="s">
        <v>486</v>
      </c>
      <c r="C144" s="23">
        <v>1</v>
      </c>
      <c r="D144" s="23">
        <v>1.04</v>
      </c>
      <c r="E144" s="24">
        <v>3.6</v>
      </c>
      <c r="F144" s="23"/>
      <c r="G144" s="25">
        <v>3.7440000000000002</v>
      </c>
      <c r="H144" s="26"/>
      <c r="I144" s="26"/>
      <c r="J144" s="26">
        <v>3.7440000000000002</v>
      </c>
      <c r="K144" s="26"/>
    </row>
    <row r="145" spans="1:12" x14ac:dyDescent="0.25">
      <c r="A145" s="113"/>
      <c r="B145" s="22" t="s">
        <v>513</v>
      </c>
      <c r="C145" s="23">
        <v>1</v>
      </c>
      <c r="D145" s="23">
        <v>1.04</v>
      </c>
      <c r="E145" s="24">
        <v>3.2</v>
      </c>
      <c r="F145" s="23"/>
      <c r="G145" s="25">
        <v>3.3280000000000003</v>
      </c>
      <c r="H145" s="26"/>
      <c r="I145" s="26"/>
      <c r="J145" s="26">
        <v>3.3280000000000003</v>
      </c>
      <c r="K145" s="26"/>
    </row>
    <row r="146" spans="1:12" x14ac:dyDescent="0.25">
      <c r="A146" s="113"/>
      <c r="B146" s="22" t="s">
        <v>514</v>
      </c>
      <c r="C146" s="23">
        <v>1</v>
      </c>
      <c r="D146" s="23">
        <v>1.94</v>
      </c>
      <c r="E146" s="24"/>
      <c r="F146" s="23">
        <v>0.15</v>
      </c>
      <c r="G146" s="25">
        <v>0.29099999999999998</v>
      </c>
      <c r="H146" s="26"/>
      <c r="I146" s="26"/>
      <c r="J146" s="26">
        <v>0.29099999999999998</v>
      </c>
      <c r="K146" s="26"/>
    </row>
    <row r="147" spans="1:12" x14ac:dyDescent="0.25">
      <c r="A147" s="113"/>
      <c r="B147" s="22" t="s">
        <v>515</v>
      </c>
      <c r="C147" s="23">
        <v>1</v>
      </c>
      <c r="D147" s="23">
        <v>3.54</v>
      </c>
      <c r="E147" s="24"/>
      <c r="F147" s="23">
        <v>0.7</v>
      </c>
      <c r="G147" s="25">
        <v>2.4779999999999998</v>
      </c>
      <c r="H147" s="26"/>
      <c r="I147" s="26"/>
      <c r="J147" s="26">
        <v>2.4779999999999998</v>
      </c>
      <c r="K147" s="26"/>
    </row>
    <row r="148" spans="1:12" x14ac:dyDescent="0.25">
      <c r="A148" s="113"/>
      <c r="B148" s="22" t="s">
        <v>516</v>
      </c>
      <c r="C148" s="23">
        <v>1</v>
      </c>
      <c r="D148" s="23">
        <v>1.94</v>
      </c>
      <c r="E148" s="24"/>
      <c r="F148" s="23">
        <v>0.67500000000000004</v>
      </c>
      <c r="G148" s="25">
        <v>1.3095000000000001</v>
      </c>
      <c r="H148" s="26"/>
      <c r="I148" s="26"/>
      <c r="J148" s="26">
        <v>1.3095000000000001</v>
      </c>
      <c r="K148" s="26"/>
    </row>
    <row r="149" spans="1:12" x14ac:dyDescent="0.25">
      <c r="A149" s="113"/>
      <c r="B149" s="22" t="s">
        <v>517</v>
      </c>
      <c r="C149" s="23">
        <v>1</v>
      </c>
      <c r="D149" s="23">
        <v>1.54</v>
      </c>
      <c r="E149" s="24"/>
      <c r="F149" s="23">
        <v>0.125</v>
      </c>
      <c r="G149" s="25">
        <v>0.1925</v>
      </c>
      <c r="H149" s="26"/>
      <c r="I149" s="26"/>
      <c r="J149" s="26">
        <v>0.1925</v>
      </c>
      <c r="K149" s="26"/>
    </row>
    <row r="150" spans="1:12" x14ac:dyDescent="0.25">
      <c r="A150" s="113"/>
      <c r="B150" s="22" t="s">
        <v>488</v>
      </c>
      <c r="C150" s="23">
        <v>1</v>
      </c>
      <c r="D150" s="23">
        <v>1.1399999999999999</v>
      </c>
      <c r="E150" s="24">
        <v>1</v>
      </c>
      <c r="F150" s="23"/>
      <c r="G150" s="25">
        <v>1.1399999999999999</v>
      </c>
      <c r="H150" s="26"/>
      <c r="I150" s="26"/>
      <c r="J150" s="26">
        <v>1.1399999999999999</v>
      </c>
      <c r="K150" s="26"/>
    </row>
    <row r="151" spans="1:12" x14ac:dyDescent="0.25">
      <c r="A151" s="113"/>
      <c r="B151" s="22" t="s">
        <v>489</v>
      </c>
      <c r="C151" s="23">
        <v>1</v>
      </c>
      <c r="D151" s="23">
        <v>1.04</v>
      </c>
      <c r="E151" s="24">
        <v>2.35</v>
      </c>
      <c r="F151" s="23"/>
      <c r="G151" s="25">
        <v>2.4440000000000004</v>
      </c>
      <c r="H151" s="26"/>
      <c r="I151" s="26"/>
      <c r="J151" s="26">
        <v>2.4440000000000004</v>
      </c>
      <c r="K151" s="26"/>
    </row>
    <row r="152" spans="1:12" x14ac:dyDescent="0.25">
      <c r="A152" s="113"/>
      <c r="B152" s="22" t="s">
        <v>518</v>
      </c>
      <c r="C152" s="23">
        <v>1</v>
      </c>
      <c r="D152" s="23">
        <v>1.54</v>
      </c>
      <c r="E152" s="24"/>
      <c r="F152" s="23">
        <v>1.4</v>
      </c>
      <c r="G152" s="25">
        <v>2.1559999999999997</v>
      </c>
      <c r="H152" s="26"/>
      <c r="I152" s="26"/>
      <c r="J152" s="26">
        <v>2.1559999999999997</v>
      </c>
      <c r="K152" s="26"/>
    </row>
    <row r="153" spans="1:12" x14ac:dyDescent="0.25">
      <c r="A153" s="113"/>
      <c r="B153" s="22" t="s">
        <v>519</v>
      </c>
      <c r="C153" s="23">
        <v>1</v>
      </c>
      <c r="D153" s="23">
        <v>3.14</v>
      </c>
      <c r="E153" s="24"/>
      <c r="F153" s="23">
        <v>1.2</v>
      </c>
      <c r="G153" s="25">
        <v>3.7679999999999998</v>
      </c>
      <c r="H153" s="26"/>
      <c r="I153" s="26"/>
      <c r="J153" s="26">
        <v>3.7679999999999998</v>
      </c>
      <c r="K153" s="26"/>
    </row>
    <row r="154" spans="1:12" x14ac:dyDescent="0.25">
      <c r="A154" s="113"/>
      <c r="B154" s="22" t="s">
        <v>520</v>
      </c>
      <c r="C154" s="23">
        <v>1</v>
      </c>
      <c r="D154" s="23">
        <v>1.54</v>
      </c>
      <c r="E154" s="24"/>
      <c r="F154" s="23">
        <v>1.4</v>
      </c>
      <c r="G154" s="25">
        <v>2.1559999999999997</v>
      </c>
      <c r="H154" s="26"/>
      <c r="I154" s="26"/>
      <c r="J154" s="26">
        <v>2.1559999999999997</v>
      </c>
      <c r="K154" s="26"/>
    </row>
    <row r="155" spans="1:12" x14ac:dyDescent="0.25">
      <c r="A155" s="113"/>
      <c r="B155" s="22" t="s">
        <v>491</v>
      </c>
      <c r="C155" s="23">
        <v>1</v>
      </c>
      <c r="D155" s="23">
        <v>0.94</v>
      </c>
      <c r="E155" s="24">
        <v>4.5999999999999996</v>
      </c>
      <c r="F155" s="23"/>
      <c r="G155" s="25">
        <v>4.3239999999999998</v>
      </c>
      <c r="H155" s="26"/>
      <c r="I155" s="26"/>
      <c r="J155" s="26">
        <v>4.3239999999999998</v>
      </c>
      <c r="K155" s="26"/>
    </row>
    <row r="156" spans="1:12" x14ac:dyDescent="0.25">
      <c r="A156" s="113"/>
      <c r="B156" s="22" t="s">
        <v>493</v>
      </c>
      <c r="C156" s="23">
        <v>1</v>
      </c>
      <c r="D156" s="23">
        <v>0.94</v>
      </c>
      <c r="E156" s="24">
        <v>1.55</v>
      </c>
      <c r="F156" s="23"/>
      <c r="G156" s="25">
        <v>1.4569999999999999</v>
      </c>
      <c r="H156" s="26"/>
      <c r="I156" s="26"/>
      <c r="J156" s="26">
        <v>1.4569999999999999</v>
      </c>
      <c r="K156" s="26"/>
    </row>
    <row r="157" spans="1:12" x14ac:dyDescent="0.25">
      <c r="A157" s="113"/>
      <c r="B157" s="22" t="s">
        <v>492</v>
      </c>
      <c r="C157" s="23">
        <v>1</v>
      </c>
      <c r="D157" s="23">
        <v>1.04</v>
      </c>
      <c r="E157" s="24">
        <v>7.35</v>
      </c>
      <c r="F157" s="23"/>
      <c r="G157" s="25">
        <v>7.6440000000000001</v>
      </c>
      <c r="H157" s="26"/>
      <c r="I157" s="26"/>
      <c r="J157" s="26">
        <v>7.6440000000000001</v>
      </c>
      <c r="K157" s="26"/>
    </row>
    <row r="158" spans="1:12" x14ac:dyDescent="0.25">
      <c r="A158" s="27"/>
      <c r="B158" s="28"/>
      <c r="C158" s="28"/>
      <c r="D158" s="28"/>
      <c r="E158" s="28"/>
      <c r="F158" s="272" t="s">
        <v>36</v>
      </c>
      <c r="G158" s="272"/>
      <c r="H158" s="272"/>
      <c r="I158" s="29"/>
      <c r="J158" s="29">
        <v>90.46</v>
      </c>
      <c r="K158" s="29">
        <v>0</v>
      </c>
    </row>
    <row r="159" spans="1:12" x14ac:dyDescent="0.25">
      <c r="A159" s="113"/>
      <c r="B159" s="273"/>
      <c r="C159" s="273"/>
      <c r="D159" s="273"/>
      <c r="E159" s="273"/>
      <c r="F159" s="273"/>
      <c r="G159" s="273"/>
      <c r="H159" s="273"/>
      <c r="I159" s="273"/>
      <c r="J159" s="273"/>
      <c r="K159" s="113"/>
    </row>
    <row r="160" spans="1:12" x14ac:dyDescent="0.25">
      <c r="A160" s="19" t="str">
        <f>'Lista de Serviços'!A108</f>
        <v>03.02.135</v>
      </c>
      <c r="B160" s="274" t="s">
        <v>471</v>
      </c>
      <c r="C160" s="274"/>
      <c r="D160" s="274"/>
      <c r="E160" s="274"/>
      <c r="F160" s="274"/>
      <c r="G160" s="274"/>
      <c r="H160" s="274"/>
      <c r="I160" s="274"/>
      <c r="J160" s="274"/>
      <c r="K160" s="20"/>
      <c r="L160" s="18" t="s">
        <v>1412</v>
      </c>
    </row>
    <row r="161" spans="1:11" x14ac:dyDescent="0.25">
      <c r="A161" s="275"/>
      <c r="B161" s="275"/>
      <c r="C161" s="21"/>
      <c r="D161" s="21"/>
      <c r="E161" s="21"/>
      <c r="F161" s="21"/>
      <c r="G161" s="275" t="s">
        <v>23</v>
      </c>
      <c r="H161" s="275"/>
      <c r="I161" s="275" t="s">
        <v>24</v>
      </c>
      <c r="J161" s="275"/>
      <c r="K161" s="275"/>
    </row>
    <row r="162" spans="1:11" x14ac:dyDescent="0.25">
      <c r="A162" s="275" t="s">
        <v>25</v>
      </c>
      <c r="B162" s="275"/>
      <c r="C162" s="275" t="s">
        <v>26</v>
      </c>
      <c r="D162" s="275" t="s">
        <v>27</v>
      </c>
      <c r="E162" s="275" t="s">
        <v>28</v>
      </c>
      <c r="F162" s="275" t="s">
        <v>29</v>
      </c>
      <c r="G162" s="113" t="s">
        <v>30</v>
      </c>
      <c r="H162" s="113" t="s">
        <v>31</v>
      </c>
      <c r="I162" s="113" t="s">
        <v>32</v>
      </c>
      <c r="J162" s="113" t="s">
        <v>30</v>
      </c>
      <c r="K162" s="113" t="s">
        <v>31</v>
      </c>
    </row>
    <row r="163" spans="1:11" x14ac:dyDescent="0.25">
      <c r="A163" s="275"/>
      <c r="B163" s="275"/>
      <c r="C163" s="275"/>
      <c r="D163" s="275"/>
      <c r="E163" s="275"/>
      <c r="F163" s="275"/>
      <c r="G163" s="113" t="s">
        <v>33</v>
      </c>
      <c r="H163" s="113" t="s">
        <v>34</v>
      </c>
      <c r="I163" s="113" t="s">
        <v>35</v>
      </c>
      <c r="J163" s="113" t="s">
        <v>33</v>
      </c>
      <c r="K163" s="113" t="s">
        <v>34</v>
      </c>
    </row>
    <row r="164" spans="1:11" x14ac:dyDescent="0.25">
      <c r="A164" s="113"/>
      <c r="B164" s="22" t="s">
        <v>474</v>
      </c>
      <c r="C164" s="23">
        <v>1</v>
      </c>
      <c r="D164" s="23">
        <v>4.45</v>
      </c>
      <c r="E164" s="24">
        <v>0.8</v>
      </c>
      <c r="F164" s="23"/>
      <c r="G164" s="25">
        <v>3.5600000000000005</v>
      </c>
      <c r="H164" s="26"/>
      <c r="I164" s="26"/>
      <c r="J164" s="26">
        <v>3.5600000000000005</v>
      </c>
      <c r="K164" s="26"/>
    </row>
    <row r="165" spans="1:11" x14ac:dyDescent="0.25">
      <c r="A165" s="113"/>
      <c r="B165" s="22" t="s">
        <v>475</v>
      </c>
      <c r="C165" s="23">
        <v>1</v>
      </c>
      <c r="D165" s="23">
        <v>3</v>
      </c>
      <c r="E165" s="24">
        <v>0.8</v>
      </c>
      <c r="F165" s="23"/>
      <c r="G165" s="25">
        <v>2.4000000000000004</v>
      </c>
      <c r="H165" s="26"/>
      <c r="I165" s="26"/>
      <c r="J165" s="26">
        <v>2.4000000000000004</v>
      </c>
      <c r="K165" s="26"/>
    </row>
    <row r="166" spans="1:11" x14ac:dyDescent="0.25">
      <c r="A166" s="113"/>
      <c r="B166" s="22" t="s">
        <v>478</v>
      </c>
      <c r="C166" s="23">
        <v>1</v>
      </c>
      <c r="D166" s="23">
        <v>6.1</v>
      </c>
      <c r="E166" s="24">
        <v>0.8</v>
      </c>
      <c r="F166" s="23"/>
      <c r="G166" s="25">
        <v>4.88</v>
      </c>
      <c r="H166" s="26"/>
      <c r="I166" s="26"/>
      <c r="J166" s="26">
        <v>4.88</v>
      </c>
      <c r="K166" s="26"/>
    </row>
    <row r="167" spans="1:11" x14ac:dyDescent="0.25">
      <c r="A167" s="113"/>
      <c r="B167" s="22" t="s">
        <v>479</v>
      </c>
      <c r="C167" s="23">
        <v>1</v>
      </c>
      <c r="D167" s="23">
        <v>3.12</v>
      </c>
      <c r="E167" s="24">
        <v>0.9</v>
      </c>
      <c r="F167" s="23"/>
      <c r="G167" s="25">
        <v>2.8080000000000003</v>
      </c>
      <c r="H167" s="26"/>
      <c r="I167" s="26"/>
      <c r="J167" s="26">
        <v>2.8080000000000003</v>
      </c>
      <c r="K167" s="26"/>
    </row>
    <row r="168" spans="1:11" x14ac:dyDescent="0.25">
      <c r="A168" s="113"/>
      <c r="B168" s="22" t="s">
        <v>480</v>
      </c>
      <c r="C168" s="23">
        <v>1</v>
      </c>
      <c r="D168" s="23">
        <v>4.2</v>
      </c>
      <c r="E168" s="24">
        <v>0.9</v>
      </c>
      <c r="F168" s="23"/>
      <c r="G168" s="25">
        <v>3.7800000000000002</v>
      </c>
      <c r="H168" s="26"/>
      <c r="I168" s="26"/>
      <c r="J168" s="26">
        <v>3.7800000000000002</v>
      </c>
      <c r="K168" s="26"/>
    </row>
    <row r="169" spans="1:11" x14ac:dyDescent="0.25">
      <c r="A169" s="113"/>
      <c r="B169" s="22" t="s">
        <v>481</v>
      </c>
      <c r="C169" s="23">
        <v>1</v>
      </c>
      <c r="D169" s="23">
        <v>1.95</v>
      </c>
      <c r="E169" s="24">
        <v>0.7</v>
      </c>
      <c r="F169" s="23"/>
      <c r="G169" s="25">
        <v>1.365</v>
      </c>
      <c r="H169" s="26"/>
      <c r="I169" s="26"/>
      <c r="J169" s="26">
        <v>1.365</v>
      </c>
      <c r="K169" s="26"/>
    </row>
    <row r="170" spans="1:11" x14ac:dyDescent="0.25">
      <c r="A170" s="113"/>
      <c r="B170" s="22" t="s">
        <v>482</v>
      </c>
      <c r="C170" s="23">
        <v>1</v>
      </c>
      <c r="D170" s="23">
        <v>3.95</v>
      </c>
      <c r="E170" s="24">
        <v>0.8</v>
      </c>
      <c r="F170" s="23"/>
      <c r="G170" s="25">
        <v>3.16</v>
      </c>
      <c r="H170" s="26"/>
      <c r="I170" s="26"/>
      <c r="J170" s="26">
        <v>3.16</v>
      </c>
      <c r="K170" s="26"/>
    </row>
    <row r="171" spans="1:11" x14ac:dyDescent="0.25">
      <c r="A171" s="113"/>
      <c r="B171" s="22" t="s">
        <v>483</v>
      </c>
      <c r="C171" s="23">
        <v>1</v>
      </c>
      <c r="D171" s="23">
        <v>4.4000000000000004</v>
      </c>
      <c r="E171" s="24">
        <v>0.8</v>
      </c>
      <c r="F171" s="23"/>
      <c r="G171" s="25">
        <v>3.5200000000000005</v>
      </c>
      <c r="H171" s="26"/>
      <c r="I171" s="26"/>
      <c r="J171" s="26">
        <v>3.5200000000000005</v>
      </c>
      <c r="K171" s="26"/>
    </row>
    <row r="172" spans="1:11" x14ac:dyDescent="0.25">
      <c r="A172" s="113"/>
      <c r="B172" s="22" t="s">
        <v>484</v>
      </c>
      <c r="C172" s="23">
        <v>1</v>
      </c>
      <c r="D172" s="23">
        <v>7.35</v>
      </c>
      <c r="E172" s="24">
        <v>0.9</v>
      </c>
      <c r="F172" s="23"/>
      <c r="G172" s="25">
        <v>6.6150000000000002</v>
      </c>
      <c r="H172" s="26"/>
      <c r="I172" s="26"/>
      <c r="J172" s="26">
        <v>6.6150000000000002</v>
      </c>
      <c r="K172" s="26"/>
    </row>
    <row r="173" spans="1:11" x14ac:dyDescent="0.25">
      <c r="A173" s="113"/>
      <c r="B173" s="22" t="s">
        <v>485</v>
      </c>
      <c r="C173" s="23">
        <v>1</v>
      </c>
      <c r="D173" s="23">
        <v>2.7250000000000001</v>
      </c>
      <c r="E173" s="24">
        <v>0.8</v>
      </c>
      <c r="F173" s="23"/>
      <c r="G173" s="25">
        <v>2.1800000000000002</v>
      </c>
      <c r="H173" s="26"/>
      <c r="I173" s="26"/>
      <c r="J173" s="26">
        <v>2.1800000000000002</v>
      </c>
      <c r="K173" s="26"/>
    </row>
    <row r="174" spans="1:11" x14ac:dyDescent="0.25">
      <c r="A174" s="113"/>
      <c r="B174" s="22" t="s">
        <v>486</v>
      </c>
      <c r="C174" s="23">
        <v>1</v>
      </c>
      <c r="D174" s="23">
        <v>3.6</v>
      </c>
      <c r="E174" s="24">
        <v>0.9</v>
      </c>
      <c r="F174" s="23"/>
      <c r="G174" s="25">
        <v>3.24</v>
      </c>
      <c r="H174" s="26"/>
      <c r="I174" s="26"/>
      <c r="J174" s="26">
        <v>3.24</v>
      </c>
      <c r="K174" s="26"/>
    </row>
    <row r="175" spans="1:11" x14ac:dyDescent="0.25">
      <c r="A175" s="113"/>
      <c r="B175" s="22" t="s">
        <v>487</v>
      </c>
      <c r="C175" s="23">
        <v>1</v>
      </c>
      <c r="D175" s="23">
        <v>4.8499999999999996</v>
      </c>
      <c r="E175" s="24">
        <v>0.9</v>
      </c>
      <c r="F175" s="23"/>
      <c r="G175" s="25">
        <v>4.3650000000000002</v>
      </c>
      <c r="H175" s="26"/>
      <c r="I175" s="26"/>
      <c r="J175" s="26">
        <v>4.3650000000000002</v>
      </c>
      <c r="K175" s="26"/>
    </row>
    <row r="176" spans="1:11" x14ac:dyDescent="0.25">
      <c r="A176" s="113"/>
      <c r="B176" s="22" t="s">
        <v>488</v>
      </c>
      <c r="C176" s="23">
        <v>1</v>
      </c>
      <c r="D176" s="23">
        <v>1</v>
      </c>
      <c r="E176" s="24">
        <v>1</v>
      </c>
      <c r="F176" s="23"/>
      <c r="G176" s="25">
        <v>1</v>
      </c>
      <c r="H176" s="26"/>
      <c r="I176" s="26"/>
      <c r="J176" s="26">
        <v>1</v>
      </c>
      <c r="K176" s="26"/>
    </row>
    <row r="177" spans="1:12" x14ac:dyDescent="0.25">
      <c r="A177" s="113"/>
      <c r="B177" s="22" t="s">
        <v>489</v>
      </c>
      <c r="C177" s="23">
        <v>1</v>
      </c>
      <c r="D177" s="23">
        <v>2.35</v>
      </c>
      <c r="E177" s="24">
        <v>0.9</v>
      </c>
      <c r="F177" s="23"/>
      <c r="G177" s="25">
        <v>2.1150000000000002</v>
      </c>
      <c r="H177" s="26"/>
      <c r="I177" s="26"/>
      <c r="J177" s="26">
        <v>2.1150000000000002</v>
      </c>
      <c r="K177" s="26"/>
    </row>
    <row r="178" spans="1:12" x14ac:dyDescent="0.25">
      <c r="A178" s="113"/>
      <c r="B178" s="22" t="s">
        <v>490</v>
      </c>
      <c r="C178" s="23">
        <v>1</v>
      </c>
      <c r="D178" s="23">
        <v>4</v>
      </c>
      <c r="E178" s="24">
        <v>0.7</v>
      </c>
      <c r="F178" s="23"/>
      <c r="G178" s="25">
        <v>2.8</v>
      </c>
      <c r="H178" s="26"/>
      <c r="I178" s="26"/>
      <c r="J178" s="26">
        <v>2.8</v>
      </c>
      <c r="K178" s="26"/>
    </row>
    <row r="179" spans="1:12" x14ac:dyDescent="0.25">
      <c r="A179" s="113"/>
      <c r="B179" s="22" t="s">
        <v>491</v>
      </c>
      <c r="C179" s="23">
        <v>1</v>
      </c>
      <c r="D179" s="23">
        <v>4.5999999999999996</v>
      </c>
      <c r="E179" s="24">
        <v>0.8</v>
      </c>
      <c r="F179" s="23"/>
      <c r="G179" s="25">
        <v>3.6799999999999997</v>
      </c>
      <c r="H179" s="26"/>
      <c r="I179" s="26"/>
      <c r="J179" s="26">
        <v>3.6799999999999997</v>
      </c>
      <c r="K179" s="26"/>
    </row>
    <row r="180" spans="1:12" x14ac:dyDescent="0.25">
      <c r="A180" s="113"/>
      <c r="B180" s="22" t="s">
        <v>493</v>
      </c>
      <c r="C180" s="23">
        <v>1</v>
      </c>
      <c r="D180" s="23">
        <v>1.55</v>
      </c>
      <c r="E180" s="24">
        <v>0.8</v>
      </c>
      <c r="F180" s="23"/>
      <c r="G180" s="25">
        <v>1.2400000000000002</v>
      </c>
      <c r="H180" s="26"/>
      <c r="I180" s="26"/>
      <c r="J180" s="26">
        <v>1.2400000000000002</v>
      </c>
      <c r="K180" s="26"/>
    </row>
    <row r="181" spans="1:12" x14ac:dyDescent="0.25">
      <c r="A181" s="113"/>
      <c r="B181" s="22" t="s">
        <v>492</v>
      </c>
      <c r="C181" s="23">
        <v>1</v>
      </c>
      <c r="D181" s="23">
        <v>7.35</v>
      </c>
      <c r="E181" s="24">
        <v>0.9</v>
      </c>
      <c r="F181" s="23"/>
      <c r="G181" s="25">
        <v>6.6150000000000002</v>
      </c>
      <c r="H181" s="26"/>
      <c r="I181" s="26"/>
      <c r="J181" s="26">
        <v>6.6150000000000002</v>
      </c>
      <c r="K181" s="26"/>
    </row>
    <row r="182" spans="1:12" x14ac:dyDescent="0.25">
      <c r="A182" s="27"/>
      <c r="B182" s="28"/>
      <c r="C182" s="28"/>
      <c r="D182" s="28"/>
      <c r="E182" s="28"/>
      <c r="F182" s="272" t="s">
        <v>36</v>
      </c>
      <c r="G182" s="272"/>
      <c r="H182" s="272"/>
      <c r="I182" s="29"/>
      <c r="J182" s="29">
        <v>59.32</v>
      </c>
      <c r="K182" s="29"/>
    </row>
    <row r="183" spans="1:12" x14ac:dyDescent="0.25">
      <c r="A183" s="27"/>
      <c r="B183" s="28"/>
      <c r="C183" s="28"/>
      <c r="D183" s="28"/>
      <c r="E183" s="28"/>
      <c r="F183" s="115"/>
      <c r="G183" s="115"/>
      <c r="H183" s="115"/>
      <c r="I183" s="29"/>
      <c r="J183" s="29"/>
      <c r="K183" s="29"/>
    </row>
    <row r="184" spans="1:12" x14ac:dyDescent="0.25">
      <c r="A184" s="19" t="str">
        <f>'Lista de Serviços'!A108</f>
        <v>03.02.135</v>
      </c>
      <c r="B184" s="274" t="s">
        <v>472</v>
      </c>
      <c r="C184" s="274"/>
      <c r="D184" s="274"/>
      <c r="E184" s="274"/>
      <c r="F184" s="274"/>
      <c r="G184" s="274"/>
      <c r="H184" s="274"/>
      <c r="I184" s="274"/>
      <c r="J184" s="274"/>
      <c r="K184" s="20"/>
      <c r="L184" s="18" t="s">
        <v>1412</v>
      </c>
    </row>
    <row r="185" spans="1:12" x14ac:dyDescent="0.25">
      <c r="A185" s="275"/>
      <c r="B185" s="275"/>
      <c r="C185" s="21"/>
      <c r="D185" s="21"/>
      <c r="E185" s="21"/>
      <c r="F185" s="21"/>
      <c r="G185" s="275" t="s">
        <v>23</v>
      </c>
      <c r="H185" s="275"/>
      <c r="I185" s="275" t="s">
        <v>24</v>
      </c>
      <c r="J185" s="275"/>
      <c r="K185" s="275"/>
    </row>
    <row r="186" spans="1:12" x14ac:dyDescent="0.25">
      <c r="A186" s="275" t="s">
        <v>25</v>
      </c>
      <c r="B186" s="275"/>
      <c r="C186" s="275" t="s">
        <v>26</v>
      </c>
      <c r="D186" s="275" t="s">
        <v>27</v>
      </c>
      <c r="E186" s="275" t="s">
        <v>28</v>
      </c>
      <c r="F186" s="275" t="s">
        <v>29</v>
      </c>
      <c r="G186" s="112" t="s">
        <v>30</v>
      </c>
      <c r="H186" s="112" t="s">
        <v>31</v>
      </c>
      <c r="I186" s="112" t="s">
        <v>32</v>
      </c>
      <c r="J186" s="112" t="s">
        <v>30</v>
      </c>
      <c r="K186" s="112" t="s">
        <v>31</v>
      </c>
    </row>
    <row r="187" spans="1:12" x14ac:dyDescent="0.25">
      <c r="A187" s="275"/>
      <c r="B187" s="275"/>
      <c r="C187" s="275"/>
      <c r="D187" s="275"/>
      <c r="E187" s="275"/>
      <c r="F187" s="275"/>
      <c r="G187" s="112" t="s">
        <v>33</v>
      </c>
      <c r="H187" s="112" t="s">
        <v>34</v>
      </c>
      <c r="I187" s="112" t="s">
        <v>35</v>
      </c>
      <c r="J187" s="112" t="s">
        <v>33</v>
      </c>
      <c r="K187" s="112" t="s">
        <v>34</v>
      </c>
    </row>
    <row r="188" spans="1:12" x14ac:dyDescent="0.25">
      <c r="A188" s="112"/>
      <c r="B188" s="22" t="s">
        <v>474</v>
      </c>
      <c r="C188" s="23">
        <v>1</v>
      </c>
      <c r="D188" s="23"/>
      <c r="E188" s="24"/>
      <c r="F188" s="23">
        <v>7.0000000000000007E-2</v>
      </c>
      <c r="G188" s="25">
        <v>3.56</v>
      </c>
      <c r="H188" s="26"/>
      <c r="I188" s="26"/>
      <c r="J188" s="26"/>
      <c r="K188" s="26">
        <v>0.24920000000000003</v>
      </c>
    </row>
    <row r="189" spans="1:12" x14ac:dyDescent="0.25">
      <c r="A189" s="112"/>
      <c r="B189" s="22" t="s">
        <v>475</v>
      </c>
      <c r="C189" s="23">
        <v>1</v>
      </c>
      <c r="D189" s="23"/>
      <c r="E189" s="24"/>
      <c r="F189" s="23">
        <v>7.0000000000000007E-2</v>
      </c>
      <c r="G189" s="25">
        <v>2.375</v>
      </c>
      <c r="H189" s="26"/>
      <c r="I189" s="26"/>
      <c r="J189" s="26"/>
      <c r="K189" s="26">
        <v>0.16625000000000001</v>
      </c>
    </row>
    <row r="190" spans="1:12" x14ac:dyDescent="0.25">
      <c r="A190" s="113"/>
      <c r="B190" s="22" t="s">
        <v>478</v>
      </c>
      <c r="C190" s="23">
        <v>1</v>
      </c>
      <c r="D190" s="23"/>
      <c r="E190" s="24"/>
      <c r="F190" s="23">
        <v>7.0000000000000007E-2</v>
      </c>
      <c r="G190" s="25">
        <v>4.83</v>
      </c>
      <c r="H190" s="26"/>
      <c r="I190" s="26"/>
      <c r="J190" s="26"/>
      <c r="K190" s="26">
        <v>0.33810000000000001</v>
      </c>
    </row>
    <row r="191" spans="1:12" x14ac:dyDescent="0.25">
      <c r="A191" s="113"/>
      <c r="B191" s="22" t="s">
        <v>496</v>
      </c>
      <c r="C191" s="23">
        <v>1</v>
      </c>
      <c r="D191" s="23"/>
      <c r="E191" s="24"/>
      <c r="F191" s="23">
        <v>0.3</v>
      </c>
      <c r="G191" s="25">
        <v>4.5699999999999998E-2</v>
      </c>
      <c r="H191" s="26"/>
      <c r="I191" s="26"/>
      <c r="J191" s="26"/>
      <c r="K191" s="26">
        <v>1.3709999999999998E-2</v>
      </c>
    </row>
    <row r="192" spans="1:12" x14ac:dyDescent="0.25">
      <c r="A192" s="113"/>
      <c r="B192" s="22" t="s">
        <v>497</v>
      </c>
      <c r="C192" s="23">
        <v>1</v>
      </c>
      <c r="D192" s="23"/>
      <c r="E192" s="24"/>
      <c r="F192" s="23">
        <v>0.7</v>
      </c>
      <c r="G192" s="25">
        <v>8.5699999999999998E-2</v>
      </c>
      <c r="H192" s="26"/>
      <c r="I192" s="26"/>
      <c r="J192" s="26"/>
      <c r="K192" s="26">
        <v>5.9989999999999995E-2</v>
      </c>
    </row>
    <row r="193" spans="1:11" x14ac:dyDescent="0.25">
      <c r="A193" s="113"/>
      <c r="B193" s="22" t="s">
        <v>498</v>
      </c>
      <c r="C193" s="23">
        <v>1</v>
      </c>
      <c r="D193" s="23"/>
      <c r="E193" s="24"/>
      <c r="F193" s="23">
        <v>0.1</v>
      </c>
      <c r="G193" s="25">
        <v>4.5699999999999998E-2</v>
      </c>
      <c r="H193" s="26"/>
      <c r="I193" s="26"/>
      <c r="J193" s="26"/>
      <c r="K193" s="26">
        <v>4.5700000000000003E-3</v>
      </c>
    </row>
    <row r="194" spans="1:11" x14ac:dyDescent="0.25">
      <c r="A194" s="113"/>
      <c r="B194" s="22" t="s">
        <v>499</v>
      </c>
      <c r="C194" s="23">
        <v>1</v>
      </c>
      <c r="D194" s="23"/>
      <c r="E194" s="24"/>
      <c r="F194" s="23">
        <v>2.02</v>
      </c>
      <c r="G194" s="25">
        <v>6.3E-2</v>
      </c>
      <c r="H194" s="26"/>
      <c r="I194" s="26"/>
      <c r="J194" s="26"/>
      <c r="K194" s="26">
        <v>0.12726000000000001</v>
      </c>
    </row>
    <row r="195" spans="1:11" x14ac:dyDescent="0.25">
      <c r="A195" s="113"/>
      <c r="B195" s="22" t="s">
        <v>480</v>
      </c>
      <c r="C195" s="23">
        <v>1</v>
      </c>
      <c r="D195" s="23"/>
      <c r="E195" s="24"/>
      <c r="F195" s="23">
        <v>7.0000000000000007E-2</v>
      </c>
      <c r="G195" s="25">
        <v>3.78</v>
      </c>
      <c r="H195" s="26"/>
      <c r="I195" s="26"/>
      <c r="J195" s="26"/>
      <c r="K195" s="26">
        <v>0.2646</v>
      </c>
    </row>
    <row r="196" spans="1:11" x14ac:dyDescent="0.25">
      <c r="A196" s="113"/>
      <c r="B196" s="22" t="s">
        <v>500</v>
      </c>
      <c r="C196" s="23">
        <v>1</v>
      </c>
      <c r="D196" s="23"/>
      <c r="E196" s="24"/>
      <c r="F196" s="23">
        <v>0.23749999999999999</v>
      </c>
      <c r="G196" s="25">
        <v>3.5700000000000003E-2</v>
      </c>
      <c r="H196" s="26"/>
      <c r="I196" s="26"/>
      <c r="J196" s="26"/>
      <c r="K196" s="26">
        <v>8.4787500000000002E-3</v>
      </c>
    </row>
    <row r="197" spans="1:11" x14ac:dyDescent="0.25">
      <c r="A197" s="113"/>
      <c r="B197" s="22" t="s">
        <v>501</v>
      </c>
      <c r="C197" s="23">
        <v>1</v>
      </c>
      <c r="D197" s="23"/>
      <c r="E197" s="24"/>
      <c r="F197" s="23">
        <v>0.6</v>
      </c>
      <c r="G197" s="25">
        <v>7.5700000000000003E-2</v>
      </c>
      <c r="H197" s="26"/>
      <c r="I197" s="26"/>
      <c r="J197" s="26"/>
      <c r="K197" s="26">
        <v>4.5420000000000002E-2</v>
      </c>
    </row>
    <row r="198" spans="1:11" x14ac:dyDescent="0.25">
      <c r="A198" s="113"/>
      <c r="B198" s="22" t="s">
        <v>502</v>
      </c>
      <c r="C198" s="23">
        <v>1</v>
      </c>
      <c r="D198" s="23"/>
      <c r="E198" s="24"/>
      <c r="F198" s="23">
        <v>0.27500000000000002</v>
      </c>
      <c r="G198" s="25">
        <v>3.5700000000000003E-2</v>
      </c>
      <c r="H198" s="26"/>
      <c r="I198" s="26"/>
      <c r="J198" s="26"/>
      <c r="K198" s="26">
        <v>9.8175000000000016E-3</v>
      </c>
    </row>
    <row r="199" spans="1:11" x14ac:dyDescent="0.25">
      <c r="A199" s="113"/>
      <c r="B199" s="22" t="s">
        <v>503</v>
      </c>
      <c r="C199" s="23">
        <v>1</v>
      </c>
      <c r="D199" s="23"/>
      <c r="E199" s="24"/>
      <c r="F199" s="23">
        <v>0.6</v>
      </c>
      <c r="G199" s="25">
        <v>7.5700000000000003E-2</v>
      </c>
      <c r="H199" s="26"/>
      <c r="I199" s="26"/>
      <c r="J199" s="26"/>
      <c r="K199" s="26">
        <v>4.5420000000000002E-2</v>
      </c>
    </row>
    <row r="200" spans="1:11" x14ac:dyDescent="0.25">
      <c r="A200" s="113"/>
      <c r="B200" s="22" t="s">
        <v>504</v>
      </c>
      <c r="C200" s="23">
        <v>1</v>
      </c>
      <c r="D200" s="23"/>
      <c r="E200" s="24"/>
      <c r="F200" s="23">
        <v>0.23749999999999999</v>
      </c>
      <c r="G200" s="25">
        <v>3.5700000000000003E-2</v>
      </c>
      <c r="H200" s="26"/>
      <c r="I200" s="26"/>
      <c r="J200" s="26"/>
      <c r="K200" s="26">
        <v>8.4787500000000002E-3</v>
      </c>
    </row>
    <row r="201" spans="1:11" x14ac:dyDescent="0.25">
      <c r="A201" s="113"/>
      <c r="B201" s="22" t="s">
        <v>505</v>
      </c>
      <c r="C201" s="23">
        <v>1</v>
      </c>
      <c r="D201" s="23"/>
      <c r="E201" s="24"/>
      <c r="F201" s="23">
        <v>0.4</v>
      </c>
      <c r="G201" s="25">
        <v>4.07E-2</v>
      </c>
      <c r="H201" s="26"/>
      <c r="I201" s="26"/>
      <c r="J201" s="26"/>
      <c r="K201" s="26">
        <v>1.6279999999999999E-2</v>
      </c>
    </row>
    <row r="202" spans="1:11" x14ac:dyDescent="0.25">
      <c r="A202" s="113"/>
      <c r="B202" s="22" t="s">
        <v>506</v>
      </c>
      <c r="C202" s="23">
        <v>1</v>
      </c>
      <c r="D202" s="23"/>
      <c r="E202" s="24"/>
      <c r="F202" s="23">
        <v>0.8</v>
      </c>
      <c r="G202" s="25">
        <v>8.0699999999999994E-2</v>
      </c>
      <c r="H202" s="26"/>
      <c r="I202" s="26"/>
      <c r="J202" s="26"/>
      <c r="K202" s="26">
        <v>6.4559999999999992E-2</v>
      </c>
    </row>
    <row r="203" spans="1:11" x14ac:dyDescent="0.25">
      <c r="A203" s="113"/>
      <c r="B203" s="22" t="s">
        <v>507</v>
      </c>
      <c r="C203" s="23">
        <v>1</v>
      </c>
      <c r="D203" s="23"/>
      <c r="E203" s="24"/>
      <c r="F203" s="23">
        <v>1.05</v>
      </c>
      <c r="G203" s="25">
        <v>4.07E-2</v>
      </c>
      <c r="H203" s="26"/>
      <c r="I203" s="26"/>
      <c r="J203" s="26"/>
      <c r="K203" s="26">
        <v>4.2735000000000002E-2</v>
      </c>
    </row>
    <row r="204" spans="1:11" x14ac:dyDescent="0.25">
      <c r="A204" s="113"/>
      <c r="B204" s="22" t="s">
        <v>508</v>
      </c>
      <c r="C204" s="23">
        <v>1</v>
      </c>
      <c r="D204" s="23"/>
      <c r="E204" s="24"/>
      <c r="F204" s="23">
        <v>0.8</v>
      </c>
      <c r="G204" s="25">
        <v>8.0699999999999994E-2</v>
      </c>
      <c r="H204" s="26"/>
      <c r="I204" s="26"/>
      <c r="J204" s="26"/>
      <c r="K204" s="26">
        <v>6.4559999999999992E-2</v>
      </c>
    </row>
    <row r="205" spans="1:11" x14ac:dyDescent="0.25">
      <c r="A205" s="113"/>
      <c r="B205" s="22" t="s">
        <v>509</v>
      </c>
      <c r="C205" s="23">
        <v>1</v>
      </c>
      <c r="D205" s="23"/>
      <c r="E205" s="24"/>
      <c r="F205" s="23">
        <v>0.9</v>
      </c>
      <c r="G205" s="25">
        <v>4.07E-2</v>
      </c>
      <c r="H205" s="26"/>
      <c r="I205" s="26"/>
      <c r="J205" s="26"/>
      <c r="K205" s="26">
        <v>3.6630000000000003E-2</v>
      </c>
    </row>
    <row r="206" spans="1:11" x14ac:dyDescent="0.25">
      <c r="A206" s="113"/>
      <c r="B206" s="22" t="s">
        <v>483</v>
      </c>
      <c r="C206" s="23">
        <v>1</v>
      </c>
      <c r="D206" s="23"/>
      <c r="E206" s="24"/>
      <c r="F206" s="23">
        <v>7.0000000000000007E-2</v>
      </c>
      <c r="G206" s="25">
        <v>3.52</v>
      </c>
      <c r="H206" s="26"/>
      <c r="I206" s="26"/>
      <c r="J206" s="26"/>
      <c r="K206" s="26">
        <v>0.24640000000000004</v>
      </c>
    </row>
    <row r="207" spans="1:11" x14ac:dyDescent="0.25">
      <c r="A207" s="113"/>
      <c r="B207" s="22" t="s">
        <v>484</v>
      </c>
      <c r="C207" s="23">
        <v>1</v>
      </c>
      <c r="D207" s="23"/>
      <c r="E207" s="24"/>
      <c r="F207" s="23">
        <v>7.0000000000000007E-2</v>
      </c>
      <c r="G207" s="25">
        <v>6.62</v>
      </c>
      <c r="H207" s="26"/>
      <c r="I207" s="26"/>
      <c r="J207" s="26"/>
      <c r="K207" s="26">
        <v>0.46340000000000003</v>
      </c>
    </row>
    <row r="208" spans="1:11" x14ac:dyDescent="0.25">
      <c r="A208" s="113"/>
      <c r="B208" s="22" t="s">
        <v>510</v>
      </c>
      <c r="C208" s="23">
        <v>1</v>
      </c>
      <c r="D208" s="23"/>
      <c r="E208" s="24"/>
      <c r="F208" s="23">
        <v>0.3</v>
      </c>
      <c r="G208" s="25">
        <v>4.07E-2</v>
      </c>
      <c r="H208" s="26"/>
      <c r="I208" s="26"/>
      <c r="J208" s="26"/>
      <c r="K208" s="26">
        <v>1.221E-2</v>
      </c>
    </row>
    <row r="209" spans="1:11" x14ac:dyDescent="0.25">
      <c r="A209" s="113"/>
      <c r="B209" s="22" t="s">
        <v>511</v>
      </c>
      <c r="C209" s="23">
        <v>1</v>
      </c>
      <c r="D209" s="23"/>
      <c r="E209" s="24"/>
      <c r="F209" s="23">
        <v>0.8</v>
      </c>
      <c r="G209" s="25">
        <v>8.0699999999999994E-2</v>
      </c>
      <c r="H209" s="26"/>
      <c r="I209" s="26"/>
      <c r="J209" s="26"/>
      <c r="K209" s="26">
        <v>6.4559999999999992E-2</v>
      </c>
    </row>
    <row r="210" spans="1:11" x14ac:dyDescent="0.25">
      <c r="A210" s="113"/>
      <c r="B210" s="22" t="s">
        <v>512</v>
      </c>
      <c r="C210" s="23">
        <v>1</v>
      </c>
      <c r="D210" s="23"/>
      <c r="E210" s="24"/>
      <c r="F210" s="23">
        <v>1.625</v>
      </c>
      <c r="G210" s="25">
        <v>4.07E-2</v>
      </c>
      <c r="H210" s="26"/>
      <c r="I210" s="26"/>
      <c r="J210" s="26"/>
      <c r="K210" s="26">
        <v>6.6137500000000002E-2</v>
      </c>
    </row>
    <row r="211" spans="1:11" x14ac:dyDescent="0.25">
      <c r="A211" s="113"/>
      <c r="B211" s="22" t="s">
        <v>486</v>
      </c>
      <c r="C211" s="23">
        <v>1</v>
      </c>
      <c r="D211" s="23"/>
      <c r="E211" s="24"/>
      <c r="F211" s="23">
        <v>7.0000000000000007E-2</v>
      </c>
      <c r="G211" s="25">
        <v>3.24</v>
      </c>
      <c r="H211" s="26"/>
      <c r="I211" s="26"/>
      <c r="J211" s="26"/>
      <c r="K211" s="26">
        <v>0.22680000000000003</v>
      </c>
    </row>
    <row r="212" spans="1:11" x14ac:dyDescent="0.25">
      <c r="A212" s="113"/>
      <c r="B212" s="22" t="s">
        <v>513</v>
      </c>
      <c r="C212" s="23">
        <v>1</v>
      </c>
      <c r="D212" s="23"/>
      <c r="E212" s="24"/>
      <c r="F212" s="23">
        <v>3.2</v>
      </c>
      <c r="G212" s="25">
        <v>6.3E-2</v>
      </c>
      <c r="H212" s="26"/>
      <c r="I212" s="26"/>
      <c r="J212" s="26"/>
      <c r="K212" s="26">
        <v>0.2016</v>
      </c>
    </row>
    <row r="213" spans="1:11" x14ac:dyDescent="0.25">
      <c r="A213" s="113"/>
      <c r="B213" s="22" t="s">
        <v>514</v>
      </c>
      <c r="C213" s="23">
        <v>1</v>
      </c>
      <c r="D213" s="23"/>
      <c r="E213" s="24"/>
      <c r="F213" s="23">
        <v>0.15</v>
      </c>
      <c r="G213" s="25">
        <v>4.5699999999999998E-2</v>
      </c>
      <c r="H213" s="26"/>
      <c r="I213" s="26"/>
      <c r="J213" s="26"/>
      <c r="K213" s="26">
        <v>6.8549999999999991E-3</v>
      </c>
    </row>
    <row r="214" spans="1:11" x14ac:dyDescent="0.25">
      <c r="A214" s="113"/>
      <c r="B214" s="22" t="s">
        <v>515</v>
      </c>
      <c r="C214" s="23">
        <v>1</v>
      </c>
      <c r="D214" s="23"/>
      <c r="E214" s="24"/>
      <c r="F214" s="23">
        <v>0.7</v>
      </c>
      <c r="G214" s="25">
        <v>8.5699999999999998E-2</v>
      </c>
      <c r="H214" s="26"/>
      <c r="I214" s="26"/>
      <c r="J214" s="26"/>
      <c r="K214" s="26">
        <v>5.9989999999999995E-2</v>
      </c>
    </row>
    <row r="215" spans="1:11" x14ac:dyDescent="0.25">
      <c r="A215" s="113"/>
      <c r="B215" s="22" t="s">
        <v>516</v>
      </c>
      <c r="C215" s="23">
        <v>1</v>
      </c>
      <c r="D215" s="23"/>
      <c r="E215" s="24"/>
      <c r="F215" s="23">
        <v>0.67500000000000004</v>
      </c>
      <c r="G215" s="25">
        <v>4.5699999999999998E-2</v>
      </c>
      <c r="H215" s="26"/>
      <c r="I215" s="26"/>
      <c r="J215" s="26"/>
      <c r="K215" s="26">
        <v>3.08475E-2</v>
      </c>
    </row>
    <row r="216" spans="1:11" x14ac:dyDescent="0.25">
      <c r="A216" s="113"/>
      <c r="B216" s="22" t="s">
        <v>517</v>
      </c>
      <c r="C216" s="23">
        <v>1</v>
      </c>
      <c r="D216" s="23"/>
      <c r="E216" s="24"/>
      <c r="F216" s="23">
        <v>0.125</v>
      </c>
      <c r="G216" s="25">
        <v>3.5700000000000003E-2</v>
      </c>
      <c r="H216" s="26"/>
      <c r="I216" s="26"/>
      <c r="J216" s="26"/>
      <c r="K216" s="26">
        <v>4.4625000000000003E-3</v>
      </c>
    </row>
    <row r="217" spans="1:11" x14ac:dyDescent="0.25">
      <c r="A217" s="113"/>
      <c r="B217" s="22" t="s">
        <v>488</v>
      </c>
      <c r="C217" s="23">
        <v>1</v>
      </c>
      <c r="D217" s="23"/>
      <c r="E217" s="24"/>
      <c r="F217" s="23">
        <v>7.0000000000000007E-2</v>
      </c>
      <c r="G217" s="25">
        <v>1</v>
      </c>
      <c r="H217" s="26"/>
      <c r="I217" s="26"/>
      <c r="J217" s="26"/>
      <c r="K217" s="26">
        <v>7.0000000000000007E-2</v>
      </c>
    </row>
    <row r="218" spans="1:11" x14ac:dyDescent="0.25">
      <c r="A218" s="113"/>
      <c r="B218" s="22" t="s">
        <v>489</v>
      </c>
      <c r="C218" s="23">
        <v>1</v>
      </c>
      <c r="D218" s="23"/>
      <c r="E218" s="24"/>
      <c r="F218" s="23">
        <v>7.0000000000000007E-2</v>
      </c>
      <c r="G218" s="25">
        <v>2.12</v>
      </c>
      <c r="H218" s="26"/>
      <c r="I218" s="26"/>
      <c r="J218" s="26"/>
      <c r="K218" s="26">
        <v>0.14840000000000003</v>
      </c>
    </row>
    <row r="219" spans="1:11" x14ac:dyDescent="0.25">
      <c r="A219" s="112"/>
      <c r="B219" s="22" t="s">
        <v>518</v>
      </c>
      <c r="C219" s="23">
        <v>1</v>
      </c>
      <c r="D219" s="23"/>
      <c r="E219" s="24"/>
      <c r="F219" s="23">
        <v>1.4</v>
      </c>
      <c r="G219" s="25">
        <v>3.5700000000000003E-2</v>
      </c>
      <c r="H219" s="26"/>
      <c r="I219" s="26"/>
      <c r="J219" s="26"/>
      <c r="K219" s="26">
        <v>4.9980000000000004E-2</v>
      </c>
    </row>
    <row r="220" spans="1:11" x14ac:dyDescent="0.25">
      <c r="A220" s="113"/>
      <c r="B220" s="22" t="s">
        <v>519</v>
      </c>
      <c r="C220" s="23">
        <v>1</v>
      </c>
      <c r="D220" s="23"/>
      <c r="E220" s="24"/>
      <c r="F220" s="23">
        <v>1.2</v>
      </c>
      <c r="G220" s="25">
        <v>7.5700000000000003E-2</v>
      </c>
      <c r="H220" s="26"/>
      <c r="I220" s="26"/>
      <c r="J220" s="26"/>
      <c r="K220" s="26">
        <v>9.0840000000000004E-2</v>
      </c>
    </row>
    <row r="221" spans="1:11" x14ac:dyDescent="0.25">
      <c r="A221" s="113"/>
      <c r="B221" s="22" t="s">
        <v>520</v>
      </c>
      <c r="C221" s="23">
        <v>1</v>
      </c>
      <c r="D221" s="23"/>
      <c r="E221" s="24"/>
      <c r="F221" s="23">
        <v>1.4</v>
      </c>
      <c r="G221" s="25">
        <v>3.5700000000000003E-2</v>
      </c>
      <c r="H221" s="26"/>
      <c r="I221" s="26"/>
      <c r="J221" s="26"/>
      <c r="K221" s="26">
        <v>4.9980000000000004E-2</v>
      </c>
    </row>
    <row r="222" spans="1:11" x14ac:dyDescent="0.25">
      <c r="A222" s="112"/>
      <c r="B222" s="22" t="s">
        <v>491</v>
      </c>
      <c r="C222" s="23">
        <v>1</v>
      </c>
      <c r="D222" s="23"/>
      <c r="E222" s="24"/>
      <c r="F222" s="23">
        <v>7.0000000000000007E-2</v>
      </c>
      <c r="G222" s="25">
        <v>3.66</v>
      </c>
      <c r="H222" s="26"/>
      <c r="I222" s="26"/>
      <c r="J222" s="26"/>
      <c r="K222" s="26">
        <v>0.25620000000000004</v>
      </c>
    </row>
    <row r="223" spans="1:11" x14ac:dyDescent="0.25">
      <c r="A223" s="112"/>
      <c r="B223" s="22" t="s">
        <v>493</v>
      </c>
      <c r="C223" s="23">
        <v>1</v>
      </c>
      <c r="D223" s="23"/>
      <c r="E223" s="24"/>
      <c r="F223" s="23">
        <v>7.0000000000000007E-2</v>
      </c>
      <c r="G223" s="25">
        <v>1.24</v>
      </c>
      <c r="H223" s="26"/>
      <c r="I223" s="26"/>
      <c r="J223" s="26"/>
      <c r="K223" s="26">
        <v>8.6800000000000002E-2</v>
      </c>
    </row>
    <row r="224" spans="1:11" x14ac:dyDescent="0.25">
      <c r="A224" s="112"/>
      <c r="B224" s="22" t="s">
        <v>492</v>
      </c>
      <c r="C224" s="23">
        <v>1</v>
      </c>
      <c r="D224" s="23"/>
      <c r="E224" s="24"/>
      <c r="F224" s="23">
        <v>7.0000000000000007E-2</v>
      </c>
      <c r="G224" s="25">
        <v>6.62</v>
      </c>
      <c r="H224" s="26"/>
      <c r="I224" s="26"/>
      <c r="J224" s="26"/>
      <c r="K224" s="26">
        <v>0.46340000000000003</v>
      </c>
    </row>
    <row r="225" spans="1:12" x14ac:dyDescent="0.25">
      <c r="A225" s="27"/>
      <c r="B225" s="28"/>
      <c r="C225" s="28"/>
      <c r="D225" s="28"/>
      <c r="E225" s="28"/>
      <c r="F225" s="272" t="s">
        <v>36</v>
      </c>
      <c r="G225" s="272"/>
      <c r="H225" s="272"/>
      <c r="I225" s="29"/>
      <c r="J225" s="29"/>
      <c r="K225" s="29">
        <v>4.16</v>
      </c>
    </row>
    <row r="226" spans="1:12" x14ac:dyDescent="0.25">
      <c r="A226" s="112"/>
      <c r="B226" s="273"/>
      <c r="C226" s="273"/>
      <c r="D226" s="273"/>
      <c r="E226" s="273"/>
      <c r="F226" s="273"/>
      <c r="G226" s="273"/>
      <c r="H226" s="273"/>
      <c r="I226" s="273"/>
      <c r="J226" s="273"/>
      <c r="K226" s="112"/>
    </row>
    <row r="227" spans="1:12" x14ac:dyDescent="0.25">
      <c r="A227" s="19" t="str">
        <f>'Lista de Serviços'!A108</f>
        <v>03.02.135</v>
      </c>
      <c r="B227" s="274" t="s">
        <v>473</v>
      </c>
      <c r="C227" s="274"/>
      <c r="D227" s="274"/>
      <c r="E227" s="274"/>
      <c r="F227" s="274"/>
      <c r="G227" s="274"/>
      <c r="H227" s="274"/>
      <c r="I227" s="274"/>
      <c r="J227" s="274"/>
      <c r="K227" s="20"/>
      <c r="L227" s="18" t="s">
        <v>1412</v>
      </c>
    </row>
    <row r="228" spans="1:12" x14ac:dyDescent="0.25">
      <c r="A228" s="275"/>
      <c r="B228" s="275"/>
      <c r="C228" s="21"/>
      <c r="D228" s="21"/>
      <c r="E228" s="21"/>
      <c r="F228" s="21"/>
      <c r="G228" s="275" t="s">
        <v>23</v>
      </c>
      <c r="H228" s="275"/>
      <c r="I228" s="275" t="s">
        <v>24</v>
      </c>
      <c r="J228" s="275"/>
      <c r="K228" s="275"/>
    </row>
    <row r="229" spans="1:12" x14ac:dyDescent="0.25">
      <c r="A229" s="275" t="s">
        <v>25</v>
      </c>
      <c r="B229" s="275"/>
      <c r="C229" s="275" t="s">
        <v>26</v>
      </c>
      <c r="D229" s="275" t="s">
        <v>27</v>
      </c>
      <c r="E229" s="275" t="s">
        <v>28</v>
      </c>
      <c r="F229" s="275" t="s">
        <v>29</v>
      </c>
      <c r="G229" s="114" t="s">
        <v>30</v>
      </c>
      <c r="H229" s="114" t="s">
        <v>31</v>
      </c>
      <c r="I229" s="114" t="s">
        <v>32</v>
      </c>
      <c r="J229" s="114" t="s">
        <v>30</v>
      </c>
      <c r="K229" s="114" t="s">
        <v>31</v>
      </c>
    </row>
    <row r="230" spans="1:12" x14ac:dyDescent="0.25">
      <c r="A230" s="275"/>
      <c r="B230" s="275"/>
      <c r="C230" s="275"/>
      <c r="D230" s="275"/>
      <c r="E230" s="275"/>
      <c r="F230" s="275"/>
      <c r="G230" s="114" t="s">
        <v>33</v>
      </c>
      <c r="H230" s="114" t="s">
        <v>34</v>
      </c>
      <c r="I230" s="114" t="s">
        <v>35</v>
      </c>
      <c r="J230" s="114" t="s">
        <v>33</v>
      </c>
      <c r="K230" s="114" t="s">
        <v>34</v>
      </c>
    </row>
    <row r="231" spans="1:12" x14ac:dyDescent="0.25">
      <c r="A231" s="114"/>
      <c r="B231" s="22" t="s">
        <v>474</v>
      </c>
      <c r="C231" s="23">
        <v>1</v>
      </c>
      <c r="D231" s="23">
        <v>6.05</v>
      </c>
      <c r="E231" s="24"/>
      <c r="F231" s="23"/>
      <c r="G231" s="25"/>
      <c r="H231" s="26"/>
      <c r="I231" s="26">
        <v>6.05</v>
      </c>
      <c r="J231" s="26"/>
      <c r="K231" s="26"/>
    </row>
    <row r="232" spans="1:12" x14ac:dyDescent="0.25">
      <c r="A232" s="114"/>
      <c r="B232" s="22" t="s">
        <v>475</v>
      </c>
      <c r="C232" s="23">
        <v>1</v>
      </c>
      <c r="D232" s="23">
        <v>4.5999999999999996</v>
      </c>
      <c r="E232" s="24"/>
      <c r="F232" s="23"/>
      <c r="G232" s="25"/>
      <c r="H232" s="26"/>
      <c r="I232" s="26">
        <v>4.5999999999999996</v>
      </c>
      <c r="J232" s="26"/>
      <c r="K232" s="26"/>
    </row>
    <row r="233" spans="1:12" x14ac:dyDescent="0.25">
      <c r="A233" s="114"/>
      <c r="B233" s="22" t="s">
        <v>478</v>
      </c>
      <c r="C233" s="23">
        <v>1</v>
      </c>
      <c r="D233" s="23">
        <v>7.95</v>
      </c>
      <c r="E233" s="24"/>
      <c r="F233" s="23"/>
      <c r="G233" s="25"/>
      <c r="H233" s="26"/>
      <c r="I233" s="26">
        <v>7.95</v>
      </c>
      <c r="J233" s="26"/>
      <c r="K233" s="26"/>
    </row>
    <row r="234" spans="1:12" x14ac:dyDescent="0.25">
      <c r="A234" s="114"/>
      <c r="B234" s="22" t="s">
        <v>479</v>
      </c>
      <c r="C234" s="23">
        <v>1</v>
      </c>
      <c r="D234" s="23">
        <v>4.92</v>
      </c>
      <c r="E234" s="24"/>
      <c r="F234" s="23"/>
      <c r="G234" s="25"/>
      <c r="H234" s="26"/>
      <c r="I234" s="26">
        <v>4.92</v>
      </c>
      <c r="J234" s="26"/>
      <c r="K234" s="26"/>
    </row>
    <row r="235" spans="1:12" x14ac:dyDescent="0.25">
      <c r="A235" s="114"/>
      <c r="B235" s="22" t="s">
        <v>480</v>
      </c>
      <c r="C235" s="23">
        <v>1</v>
      </c>
      <c r="D235" s="23">
        <v>5.0999999999999996</v>
      </c>
      <c r="E235" s="24"/>
      <c r="F235" s="23"/>
      <c r="G235" s="25"/>
      <c r="H235" s="26"/>
      <c r="I235" s="26">
        <v>5.0999999999999996</v>
      </c>
      <c r="J235" s="26"/>
      <c r="K235" s="26"/>
    </row>
    <row r="236" spans="1:12" x14ac:dyDescent="0.25">
      <c r="A236" s="114"/>
      <c r="B236" s="22" t="s">
        <v>481</v>
      </c>
      <c r="C236" s="23">
        <v>1</v>
      </c>
      <c r="D236" s="23">
        <v>1.92</v>
      </c>
      <c r="E236" s="24"/>
      <c r="F236" s="23"/>
      <c r="G236" s="25"/>
      <c r="H236" s="26"/>
      <c r="I236" s="26">
        <v>1.92</v>
      </c>
      <c r="J236" s="26"/>
      <c r="K236" s="26"/>
    </row>
    <row r="237" spans="1:12" x14ac:dyDescent="0.25">
      <c r="A237" s="114"/>
      <c r="B237" s="22" t="s">
        <v>482</v>
      </c>
      <c r="C237" s="23">
        <v>1</v>
      </c>
      <c r="D237" s="23">
        <v>3.915</v>
      </c>
      <c r="E237" s="24"/>
      <c r="F237" s="23"/>
      <c r="G237" s="25"/>
      <c r="H237" s="26"/>
      <c r="I237" s="26">
        <v>3.915</v>
      </c>
      <c r="J237" s="26"/>
      <c r="K237" s="26"/>
    </row>
    <row r="238" spans="1:12" x14ac:dyDescent="0.25">
      <c r="A238" s="114"/>
      <c r="B238" s="22" t="s">
        <v>483</v>
      </c>
      <c r="C238" s="23">
        <v>1</v>
      </c>
      <c r="D238" s="23">
        <v>6.1</v>
      </c>
      <c r="E238" s="24"/>
      <c r="F238" s="23"/>
      <c r="G238" s="25"/>
      <c r="H238" s="26"/>
      <c r="I238" s="26">
        <v>6.1</v>
      </c>
      <c r="J238" s="26"/>
      <c r="K238" s="26"/>
    </row>
    <row r="239" spans="1:12" x14ac:dyDescent="0.25">
      <c r="A239" s="114"/>
      <c r="B239" s="22" t="s">
        <v>484</v>
      </c>
      <c r="C239" s="23">
        <v>1</v>
      </c>
      <c r="D239" s="23">
        <v>8.25</v>
      </c>
      <c r="E239" s="24"/>
      <c r="F239" s="23"/>
      <c r="G239" s="25"/>
      <c r="H239" s="26"/>
      <c r="I239" s="26">
        <v>8.25</v>
      </c>
      <c r="J239" s="26"/>
      <c r="K239" s="26"/>
    </row>
    <row r="240" spans="1:12" x14ac:dyDescent="0.25">
      <c r="A240" s="114"/>
      <c r="B240" s="22" t="s">
        <v>485</v>
      </c>
      <c r="C240" s="23">
        <v>1</v>
      </c>
      <c r="D240" s="23">
        <v>4.3899999999999997</v>
      </c>
      <c r="E240" s="24"/>
      <c r="F240" s="23"/>
      <c r="G240" s="25"/>
      <c r="H240" s="26"/>
      <c r="I240" s="26">
        <v>4.3899999999999997</v>
      </c>
      <c r="J240" s="26"/>
      <c r="K240" s="26"/>
    </row>
    <row r="241" spans="1:12" x14ac:dyDescent="0.25">
      <c r="A241" s="114"/>
      <c r="B241" s="22" t="s">
        <v>486</v>
      </c>
      <c r="C241" s="23">
        <v>1</v>
      </c>
      <c r="D241" s="23">
        <v>4.5</v>
      </c>
      <c r="E241" s="24"/>
      <c r="F241" s="23"/>
      <c r="G241" s="25"/>
      <c r="H241" s="26"/>
      <c r="I241" s="26">
        <v>4.5</v>
      </c>
      <c r="J241" s="26"/>
      <c r="K241" s="26"/>
    </row>
    <row r="242" spans="1:12" x14ac:dyDescent="0.25">
      <c r="A242" s="114"/>
      <c r="B242" s="22" t="s">
        <v>487</v>
      </c>
      <c r="C242" s="23">
        <v>1</v>
      </c>
      <c r="D242" s="23">
        <v>6.62</v>
      </c>
      <c r="E242" s="24"/>
      <c r="F242" s="23"/>
      <c r="G242" s="25"/>
      <c r="H242" s="26"/>
      <c r="I242" s="26">
        <v>6.62</v>
      </c>
      <c r="J242" s="26"/>
      <c r="K242" s="26"/>
    </row>
    <row r="243" spans="1:12" x14ac:dyDescent="0.25">
      <c r="A243" s="114"/>
      <c r="B243" s="22" t="s">
        <v>488</v>
      </c>
      <c r="C243" s="23">
        <v>1</v>
      </c>
      <c r="D243" s="23">
        <v>0</v>
      </c>
      <c r="E243" s="24"/>
      <c r="F243" s="23"/>
      <c r="G243" s="25"/>
      <c r="H243" s="26"/>
      <c r="I243" s="26">
        <v>0</v>
      </c>
      <c r="J243" s="26"/>
      <c r="K243" s="26"/>
    </row>
    <row r="244" spans="1:12" x14ac:dyDescent="0.25">
      <c r="A244" s="114"/>
      <c r="B244" s="22" t="s">
        <v>489</v>
      </c>
      <c r="C244" s="23">
        <v>1</v>
      </c>
      <c r="D244" s="23">
        <v>3.25</v>
      </c>
      <c r="E244" s="24"/>
      <c r="F244" s="23"/>
      <c r="G244" s="25"/>
      <c r="H244" s="26"/>
      <c r="I244" s="26">
        <v>3.25</v>
      </c>
      <c r="J244" s="26"/>
      <c r="K244" s="26"/>
    </row>
    <row r="245" spans="1:12" x14ac:dyDescent="0.25">
      <c r="A245" s="114"/>
      <c r="B245" s="22" t="s">
        <v>490</v>
      </c>
      <c r="C245" s="23">
        <v>1</v>
      </c>
      <c r="D245" s="23">
        <v>4.87</v>
      </c>
      <c r="E245" s="24"/>
      <c r="F245" s="23"/>
      <c r="G245" s="25"/>
      <c r="H245" s="26"/>
      <c r="I245" s="26">
        <v>4.87</v>
      </c>
      <c r="J245" s="26"/>
      <c r="K245" s="26"/>
    </row>
    <row r="246" spans="1:12" x14ac:dyDescent="0.25">
      <c r="A246" s="114"/>
      <c r="B246" s="22" t="s">
        <v>491</v>
      </c>
      <c r="C246" s="23">
        <v>1</v>
      </c>
      <c r="D246" s="23">
        <v>4.7300000000000004</v>
      </c>
      <c r="E246" s="24"/>
      <c r="F246" s="23"/>
      <c r="G246" s="25"/>
      <c r="H246" s="26"/>
      <c r="I246" s="26">
        <v>4.7300000000000004</v>
      </c>
      <c r="J246" s="26"/>
      <c r="K246" s="26"/>
    </row>
    <row r="247" spans="1:12" x14ac:dyDescent="0.25">
      <c r="A247" s="114"/>
      <c r="B247" s="22" t="s">
        <v>493</v>
      </c>
      <c r="C247" s="23">
        <v>1</v>
      </c>
      <c r="D247" s="23">
        <v>3.02</v>
      </c>
      <c r="E247" s="24"/>
      <c r="F247" s="23"/>
      <c r="G247" s="25"/>
      <c r="H247" s="26"/>
      <c r="I247" s="26">
        <v>3.02</v>
      </c>
      <c r="J247" s="26"/>
      <c r="K247" s="26"/>
    </row>
    <row r="248" spans="1:12" x14ac:dyDescent="0.25">
      <c r="A248" s="114"/>
      <c r="B248" s="22" t="s">
        <v>492</v>
      </c>
      <c r="C248" s="23">
        <v>1</v>
      </c>
      <c r="D248" s="23">
        <v>9.15</v>
      </c>
      <c r="E248" s="24"/>
      <c r="F248" s="23"/>
      <c r="G248" s="25"/>
      <c r="H248" s="26"/>
      <c r="I248" s="26">
        <v>9.15</v>
      </c>
      <c r="J248" s="26"/>
      <c r="K248" s="26"/>
    </row>
    <row r="249" spans="1:12" x14ac:dyDescent="0.25">
      <c r="A249" s="27"/>
      <c r="B249" s="28"/>
      <c r="C249" s="28"/>
      <c r="D249" s="28"/>
      <c r="E249" s="28"/>
      <c r="F249" s="272" t="s">
        <v>36</v>
      </c>
      <c r="G249" s="272"/>
      <c r="H249" s="272"/>
      <c r="I249" s="29">
        <v>89.34</v>
      </c>
      <c r="J249" s="29"/>
      <c r="K249" s="29"/>
    </row>
    <row r="250" spans="1:12" x14ac:dyDescent="0.25">
      <c r="A250" s="27"/>
      <c r="B250" s="28"/>
      <c r="C250" s="28"/>
      <c r="D250" s="28"/>
      <c r="E250" s="28"/>
      <c r="F250" s="115"/>
      <c r="G250" s="115"/>
      <c r="H250" s="115"/>
      <c r="I250" s="29"/>
      <c r="J250" s="29"/>
      <c r="K250" s="29"/>
    </row>
    <row r="251" spans="1:12" x14ac:dyDescent="0.25">
      <c r="A251" s="19" t="str">
        <f>'Lista de Serviços'!A114</f>
        <v>03.02.330</v>
      </c>
      <c r="B251" s="274" t="s">
        <v>585</v>
      </c>
      <c r="C251" s="274"/>
      <c r="D251" s="274"/>
      <c r="E251" s="274"/>
      <c r="F251" s="274"/>
      <c r="G251" s="274"/>
      <c r="H251" s="274"/>
      <c r="I251" s="274"/>
      <c r="J251" s="274"/>
      <c r="K251" s="20"/>
      <c r="L251" s="18" t="s">
        <v>1412</v>
      </c>
    </row>
    <row r="252" spans="1:12" x14ac:dyDescent="0.25">
      <c r="A252" s="275"/>
      <c r="B252" s="275"/>
      <c r="C252" s="21"/>
      <c r="D252" s="21"/>
      <c r="E252" s="21"/>
      <c r="F252" s="21"/>
      <c r="G252" s="275"/>
      <c r="H252" s="275"/>
      <c r="I252" s="275"/>
      <c r="J252" s="275"/>
      <c r="K252" s="275"/>
    </row>
    <row r="253" spans="1:12" ht="22.5" x14ac:dyDescent="0.25">
      <c r="A253" s="22"/>
      <c r="B253" s="119" t="s">
        <v>586</v>
      </c>
      <c r="C253" s="119" t="s">
        <v>587</v>
      </c>
      <c r="D253" s="119" t="s">
        <v>588</v>
      </c>
      <c r="E253" s="119" t="s">
        <v>589</v>
      </c>
      <c r="F253" s="119" t="s">
        <v>591</v>
      </c>
      <c r="G253" s="119" t="s">
        <v>615</v>
      </c>
      <c r="H253" s="119" t="s">
        <v>590</v>
      </c>
      <c r="I253" s="119" t="s">
        <v>617</v>
      </c>
      <c r="J253" s="119" t="s">
        <v>616</v>
      </c>
      <c r="K253" s="119" t="s">
        <v>614</v>
      </c>
    </row>
    <row r="254" spans="1:12" x14ac:dyDescent="0.25">
      <c r="A254" s="118" t="s">
        <v>626</v>
      </c>
      <c r="B254" s="22" t="s">
        <v>592</v>
      </c>
      <c r="C254" s="22">
        <v>10</v>
      </c>
      <c r="D254" s="22">
        <v>1</v>
      </c>
      <c r="E254" s="22"/>
      <c r="F254" s="22">
        <v>2</v>
      </c>
      <c r="G254" s="119">
        <v>32</v>
      </c>
      <c r="H254" s="119"/>
      <c r="I254" s="119"/>
      <c r="J254" s="119"/>
      <c r="K254" s="119">
        <v>0.35199999999999998</v>
      </c>
    </row>
    <row r="255" spans="1:12" x14ac:dyDescent="0.25">
      <c r="A255" s="118" t="s">
        <v>627</v>
      </c>
      <c r="B255" s="22" t="s">
        <v>593</v>
      </c>
      <c r="C255" s="23">
        <v>6</v>
      </c>
      <c r="D255" s="23">
        <v>3</v>
      </c>
      <c r="E255" s="24"/>
      <c r="F255" s="23">
        <v>2</v>
      </c>
      <c r="G255" s="25">
        <v>6</v>
      </c>
      <c r="H255" s="26">
        <v>9</v>
      </c>
      <c r="I255" s="26"/>
      <c r="J255" s="26"/>
      <c r="K255" s="26">
        <v>0.27700000000000002</v>
      </c>
    </row>
    <row r="256" spans="1:12" x14ac:dyDescent="0.25">
      <c r="A256" s="118" t="s">
        <v>628</v>
      </c>
      <c r="B256" s="22" t="s">
        <v>594</v>
      </c>
      <c r="C256" s="23">
        <v>8</v>
      </c>
      <c r="D256" s="23"/>
      <c r="E256" s="24"/>
      <c r="F256" s="23">
        <v>16</v>
      </c>
      <c r="G256" s="25"/>
      <c r="H256" s="26"/>
      <c r="I256" s="26"/>
      <c r="J256" s="26"/>
      <c r="K256" s="26">
        <v>0.20799999999999999</v>
      </c>
    </row>
    <row r="257" spans="1:11" x14ac:dyDescent="0.25">
      <c r="A257" s="118" t="s">
        <v>629</v>
      </c>
      <c r="B257" s="22" t="s">
        <v>595</v>
      </c>
      <c r="C257" s="23">
        <v>18</v>
      </c>
      <c r="D257" s="23"/>
      <c r="E257" s="24"/>
      <c r="F257" s="23">
        <v>12</v>
      </c>
      <c r="G257" s="25">
        <v>41</v>
      </c>
      <c r="H257" s="26"/>
      <c r="I257" s="26"/>
      <c r="J257" s="26"/>
      <c r="K257" s="26">
        <v>0.56000000000000005</v>
      </c>
    </row>
    <row r="258" spans="1:11" x14ac:dyDescent="0.25">
      <c r="A258" s="118" t="s">
        <v>630</v>
      </c>
      <c r="B258" s="22" t="s">
        <v>596</v>
      </c>
      <c r="C258" s="23">
        <v>21</v>
      </c>
      <c r="D258" s="23">
        <v>22</v>
      </c>
      <c r="E258" s="24"/>
      <c r="F258" s="23">
        <v>2</v>
      </c>
      <c r="G258" s="25">
        <v>6</v>
      </c>
      <c r="H258" s="26">
        <v>45</v>
      </c>
      <c r="I258" s="26"/>
      <c r="J258" s="26"/>
      <c r="K258" s="26">
        <v>1.169</v>
      </c>
    </row>
    <row r="259" spans="1:11" x14ac:dyDescent="0.25">
      <c r="A259" s="118" t="s">
        <v>631</v>
      </c>
      <c r="B259" s="22" t="s">
        <v>597</v>
      </c>
      <c r="C259" s="23">
        <v>25</v>
      </c>
      <c r="D259" s="23"/>
      <c r="E259" s="24">
        <v>28</v>
      </c>
      <c r="F259" s="23">
        <v>17</v>
      </c>
      <c r="G259" s="25">
        <v>73</v>
      </c>
      <c r="H259" s="26"/>
      <c r="I259" s="26"/>
      <c r="J259" s="26"/>
      <c r="K259" s="26">
        <v>2.9390000000000001</v>
      </c>
    </row>
    <row r="260" spans="1:11" x14ac:dyDescent="0.25">
      <c r="A260" s="118" t="s">
        <v>632</v>
      </c>
      <c r="B260" s="22" t="s">
        <v>598</v>
      </c>
      <c r="C260" s="23">
        <v>28</v>
      </c>
      <c r="D260" s="23">
        <v>2</v>
      </c>
      <c r="E260" s="24">
        <v>28</v>
      </c>
      <c r="F260" s="23">
        <v>2</v>
      </c>
      <c r="G260" s="25">
        <v>65</v>
      </c>
      <c r="H260" s="26">
        <v>11</v>
      </c>
      <c r="I260" s="26"/>
      <c r="J260" s="26">
        <v>112</v>
      </c>
      <c r="K260" s="26">
        <v>1.6890000000000001</v>
      </c>
    </row>
    <row r="261" spans="1:11" x14ac:dyDescent="0.25">
      <c r="A261" s="118" t="s">
        <v>633</v>
      </c>
      <c r="B261" s="22" t="s">
        <v>599</v>
      </c>
      <c r="C261" s="23">
        <v>12</v>
      </c>
      <c r="D261" s="23">
        <v>39</v>
      </c>
      <c r="E261" s="24">
        <v>5</v>
      </c>
      <c r="F261" s="23">
        <v>56</v>
      </c>
      <c r="G261" s="25"/>
      <c r="H261" s="26">
        <v>16</v>
      </c>
      <c r="I261" s="26">
        <v>73</v>
      </c>
      <c r="J261" s="26"/>
      <c r="K261" s="26">
        <v>2.2250000000000001</v>
      </c>
    </row>
    <row r="262" spans="1:11" x14ac:dyDescent="0.25">
      <c r="A262" s="118" t="s">
        <v>634</v>
      </c>
      <c r="B262" s="22" t="s">
        <v>600</v>
      </c>
      <c r="C262" s="23">
        <v>2</v>
      </c>
      <c r="D262" s="23">
        <v>10</v>
      </c>
      <c r="E262" s="24">
        <v>11</v>
      </c>
      <c r="F262" s="23">
        <v>20</v>
      </c>
      <c r="G262" s="25"/>
      <c r="H262" s="26"/>
      <c r="I262" s="26">
        <v>44</v>
      </c>
      <c r="J262" s="26"/>
      <c r="K262" s="26">
        <v>0.63800000000000001</v>
      </c>
    </row>
    <row r="263" spans="1:11" x14ac:dyDescent="0.25">
      <c r="A263" s="118" t="s">
        <v>635</v>
      </c>
      <c r="B263" s="22" t="s">
        <v>601</v>
      </c>
      <c r="C263" s="23">
        <v>32</v>
      </c>
      <c r="D263" s="23">
        <v>59</v>
      </c>
      <c r="E263" s="24">
        <v>48</v>
      </c>
      <c r="F263" s="23">
        <v>177</v>
      </c>
      <c r="G263" s="25">
        <v>65</v>
      </c>
      <c r="H263" s="26"/>
      <c r="I263" s="26">
        <v>154</v>
      </c>
      <c r="J263" s="26">
        <v>288</v>
      </c>
      <c r="K263" s="26">
        <v>6.4939999999999998</v>
      </c>
    </row>
    <row r="264" spans="1:11" x14ac:dyDescent="0.25">
      <c r="A264" s="118" t="s">
        <v>636</v>
      </c>
      <c r="B264" s="22" t="s">
        <v>602</v>
      </c>
      <c r="C264" s="23">
        <v>7</v>
      </c>
      <c r="D264" s="23">
        <v>18</v>
      </c>
      <c r="E264" s="24">
        <v>4</v>
      </c>
      <c r="F264" s="23">
        <v>33</v>
      </c>
      <c r="G264" s="25"/>
      <c r="H264" s="26">
        <v>58</v>
      </c>
      <c r="I264" s="26"/>
      <c r="J264" s="26"/>
      <c r="K264" s="26">
        <v>1.1379999999999999</v>
      </c>
    </row>
    <row r="265" spans="1:11" x14ac:dyDescent="0.25">
      <c r="A265" s="118" t="s">
        <v>637</v>
      </c>
      <c r="B265" s="22" t="s">
        <v>603</v>
      </c>
      <c r="C265" s="23">
        <v>9</v>
      </c>
      <c r="D265" s="23">
        <v>30</v>
      </c>
      <c r="E265" s="24">
        <v>3</v>
      </c>
      <c r="F265" s="23">
        <v>47</v>
      </c>
      <c r="G265" s="25"/>
      <c r="H265" s="26">
        <v>16</v>
      </c>
      <c r="I265" s="26">
        <v>59</v>
      </c>
      <c r="J265" s="26"/>
      <c r="K265" s="26">
        <v>3.012</v>
      </c>
    </row>
    <row r="266" spans="1:11" x14ac:dyDescent="0.25">
      <c r="A266" s="118" t="s">
        <v>638</v>
      </c>
      <c r="B266" s="22" t="s">
        <v>604</v>
      </c>
      <c r="C266" s="23">
        <v>14</v>
      </c>
      <c r="D266" s="23"/>
      <c r="E266" s="24">
        <v>22</v>
      </c>
      <c r="F266" s="23">
        <v>18</v>
      </c>
      <c r="G266" s="25"/>
      <c r="H266" s="26">
        <v>21</v>
      </c>
      <c r="I266" s="26"/>
      <c r="J266" s="26"/>
      <c r="K266" s="26">
        <v>0.63900000000000001</v>
      </c>
    </row>
    <row r="267" spans="1:11" x14ac:dyDescent="0.25">
      <c r="A267" s="118" t="s">
        <v>639</v>
      </c>
      <c r="B267" s="22" t="s">
        <v>605</v>
      </c>
      <c r="C267" s="23">
        <v>7</v>
      </c>
      <c r="D267" s="23"/>
      <c r="E267" s="24"/>
      <c r="F267" s="23">
        <v>14</v>
      </c>
      <c r="G267" s="25"/>
      <c r="H267" s="26"/>
      <c r="I267" s="26"/>
      <c r="J267" s="26"/>
      <c r="K267" s="26">
        <v>0.151</v>
      </c>
    </row>
    <row r="268" spans="1:11" x14ac:dyDescent="0.25">
      <c r="A268" s="118" t="s">
        <v>640</v>
      </c>
      <c r="B268" s="22" t="s">
        <v>606</v>
      </c>
      <c r="C268" s="23">
        <v>59</v>
      </c>
      <c r="D268" s="23">
        <v>4</v>
      </c>
      <c r="E268" s="24">
        <v>56</v>
      </c>
      <c r="F268" s="23">
        <v>4</v>
      </c>
      <c r="G268" s="25">
        <v>125</v>
      </c>
      <c r="H268" s="26">
        <v>23</v>
      </c>
      <c r="I268" s="26"/>
      <c r="J268" s="26">
        <v>359</v>
      </c>
      <c r="K268" s="26">
        <v>3.3780000000000001</v>
      </c>
    </row>
    <row r="269" spans="1:11" x14ac:dyDescent="0.25">
      <c r="A269" s="118" t="s">
        <v>641</v>
      </c>
      <c r="B269" s="22" t="s">
        <v>607</v>
      </c>
      <c r="C269" s="23">
        <v>69</v>
      </c>
      <c r="D269" s="23"/>
      <c r="E269" s="24">
        <v>105</v>
      </c>
      <c r="F269" s="23"/>
      <c r="G269" s="25">
        <v>25</v>
      </c>
      <c r="H269" s="26">
        <v>51</v>
      </c>
      <c r="I269" s="26"/>
      <c r="J269" s="26">
        <v>129</v>
      </c>
      <c r="K269" s="26">
        <v>2.8690000000000002</v>
      </c>
    </row>
    <row r="270" spans="1:11" x14ac:dyDescent="0.25">
      <c r="A270" s="118" t="s">
        <v>642</v>
      </c>
      <c r="B270" s="22" t="s">
        <v>608</v>
      </c>
      <c r="C270" s="23">
        <v>102</v>
      </c>
      <c r="D270" s="23"/>
      <c r="E270" s="24">
        <v>155</v>
      </c>
      <c r="F270" s="23"/>
      <c r="G270" s="25"/>
      <c r="H270" s="26">
        <v>141</v>
      </c>
      <c r="I270" s="26"/>
      <c r="J270" s="26">
        <v>189</v>
      </c>
      <c r="K270" s="26">
        <v>4.2190000000000003</v>
      </c>
    </row>
    <row r="271" spans="1:11" x14ac:dyDescent="0.25">
      <c r="A271" s="118" t="s">
        <v>643</v>
      </c>
      <c r="B271" s="22" t="s">
        <v>609</v>
      </c>
      <c r="C271" s="23">
        <v>26</v>
      </c>
      <c r="D271" s="23">
        <v>82</v>
      </c>
      <c r="E271" s="24">
        <v>20</v>
      </c>
      <c r="F271" s="23">
        <v>83</v>
      </c>
      <c r="G271" s="25">
        <v>43</v>
      </c>
      <c r="H271" s="26"/>
      <c r="I271" s="26">
        <v>115</v>
      </c>
      <c r="J271" s="26">
        <v>210</v>
      </c>
      <c r="K271" s="26">
        <v>4.7469999999999999</v>
      </c>
    </row>
    <row r="272" spans="1:11" x14ac:dyDescent="0.25">
      <c r="A272" s="118" t="s">
        <v>644</v>
      </c>
      <c r="B272" s="22" t="s">
        <v>610</v>
      </c>
      <c r="C272" s="23">
        <v>41</v>
      </c>
      <c r="D272" s="23">
        <v>128</v>
      </c>
      <c r="E272" s="24">
        <v>31</v>
      </c>
      <c r="F272" s="23">
        <v>125</v>
      </c>
      <c r="G272" s="25">
        <v>81</v>
      </c>
      <c r="H272" s="26"/>
      <c r="I272" s="26">
        <v>280</v>
      </c>
      <c r="J272" s="26"/>
      <c r="K272" s="26">
        <v>7.1719999999999997</v>
      </c>
    </row>
    <row r="273" spans="1:12" x14ac:dyDescent="0.25">
      <c r="A273" s="118" t="s">
        <v>645</v>
      </c>
      <c r="B273" s="22" t="s">
        <v>611</v>
      </c>
      <c r="C273" s="23">
        <v>69</v>
      </c>
      <c r="D273" s="23"/>
      <c r="E273" s="24">
        <v>105</v>
      </c>
      <c r="F273" s="23"/>
      <c r="G273" s="25">
        <v>25</v>
      </c>
      <c r="H273" s="26">
        <v>51</v>
      </c>
      <c r="I273" s="26"/>
      <c r="J273" s="26">
        <v>193</v>
      </c>
      <c r="K273" s="26">
        <v>2.8690000000000002</v>
      </c>
    </row>
    <row r="274" spans="1:12" x14ac:dyDescent="0.25">
      <c r="A274" s="118" t="s">
        <v>646</v>
      </c>
      <c r="B274" s="22" t="s">
        <v>612</v>
      </c>
      <c r="C274" s="23">
        <v>102</v>
      </c>
      <c r="D274" s="23"/>
      <c r="E274" s="24">
        <v>155</v>
      </c>
      <c r="F274" s="23"/>
      <c r="G274" s="25">
        <v>38</v>
      </c>
      <c r="H274" s="26">
        <v>75</v>
      </c>
      <c r="I274" s="26"/>
      <c r="J274" s="26">
        <v>189</v>
      </c>
      <c r="K274" s="26">
        <v>4.2190000000000003</v>
      </c>
    </row>
    <row r="275" spans="1:12" x14ac:dyDescent="0.25">
      <c r="A275" s="118" t="s">
        <v>647</v>
      </c>
      <c r="B275" s="22" t="s">
        <v>613</v>
      </c>
      <c r="C275" s="23">
        <v>27</v>
      </c>
      <c r="D275" s="23"/>
      <c r="E275" s="24">
        <v>52</v>
      </c>
      <c r="F275" s="23">
        <v>8</v>
      </c>
      <c r="G275" s="25"/>
      <c r="H275" s="26">
        <v>66</v>
      </c>
      <c r="I275" s="26"/>
      <c r="J275" s="26"/>
      <c r="K275" s="26">
        <v>1.633</v>
      </c>
    </row>
    <row r="276" spans="1:12" x14ac:dyDescent="0.25">
      <c r="A276" s="118" t="s">
        <v>619</v>
      </c>
      <c r="B276" s="22" t="s">
        <v>618</v>
      </c>
      <c r="C276" s="23">
        <v>64</v>
      </c>
      <c r="D276" s="23">
        <v>117</v>
      </c>
      <c r="E276" s="24">
        <v>96</v>
      </c>
      <c r="F276" s="23">
        <v>354</v>
      </c>
      <c r="G276" s="25">
        <v>130</v>
      </c>
      <c r="H276" s="26"/>
      <c r="I276" s="26">
        <v>308</v>
      </c>
      <c r="J276" s="26">
        <v>576</v>
      </c>
      <c r="K276" s="26">
        <v>12.988</v>
      </c>
    </row>
    <row r="277" spans="1:12" x14ac:dyDescent="0.25">
      <c r="A277" s="118" t="s">
        <v>621</v>
      </c>
      <c r="B277" s="22" t="s">
        <v>620</v>
      </c>
      <c r="C277" s="23">
        <v>27</v>
      </c>
      <c r="D277" s="23"/>
      <c r="E277" s="24">
        <v>52</v>
      </c>
      <c r="F277" s="23">
        <v>8</v>
      </c>
      <c r="G277" s="25"/>
      <c r="H277" s="26">
        <v>66</v>
      </c>
      <c r="I277" s="26"/>
      <c r="J277" s="26"/>
      <c r="K277" s="26">
        <v>1.633</v>
      </c>
    </row>
    <row r="278" spans="1:12" x14ac:dyDescent="0.25">
      <c r="A278" s="118" t="s">
        <v>622</v>
      </c>
      <c r="B278" s="22" t="s">
        <v>624</v>
      </c>
      <c r="C278" s="23">
        <v>27</v>
      </c>
      <c r="D278" s="23"/>
      <c r="E278" s="24">
        <v>52</v>
      </c>
      <c r="F278" s="23">
        <v>8</v>
      </c>
      <c r="G278" s="25"/>
      <c r="H278" s="26">
        <v>66</v>
      </c>
      <c r="I278" s="26"/>
      <c r="J278" s="26"/>
      <c r="K278" s="26">
        <v>1.633</v>
      </c>
    </row>
    <row r="279" spans="1:12" x14ac:dyDescent="0.25">
      <c r="A279" s="118" t="s">
        <v>623</v>
      </c>
      <c r="B279" s="22" t="s">
        <v>625</v>
      </c>
      <c r="C279" s="23">
        <v>27</v>
      </c>
      <c r="D279" s="23"/>
      <c r="E279" s="24">
        <v>52</v>
      </c>
      <c r="F279" s="23">
        <v>8</v>
      </c>
      <c r="G279" s="25"/>
      <c r="H279" s="26">
        <v>66</v>
      </c>
      <c r="I279" s="26"/>
      <c r="J279" s="26"/>
      <c r="K279" s="26">
        <v>1.633</v>
      </c>
    </row>
    <row r="280" spans="1:12" x14ac:dyDescent="0.25">
      <c r="A280" s="272" t="s">
        <v>111</v>
      </c>
      <c r="B280" s="272"/>
      <c r="C280" s="121">
        <v>839</v>
      </c>
      <c r="D280" s="121">
        <v>515</v>
      </c>
      <c r="E280" s="121">
        <v>1080</v>
      </c>
      <c r="F280" s="121">
        <v>1016</v>
      </c>
      <c r="G280" s="121">
        <v>755</v>
      </c>
      <c r="H280" s="121">
        <v>781</v>
      </c>
      <c r="I280" s="121">
        <v>1033</v>
      </c>
      <c r="J280" s="121">
        <v>2245</v>
      </c>
      <c r="K280" s="121">
        <v>70.483999999999995</v>
      </c>
    </row>
    <row r="281" spans="1:12" x14ac:dyDescent="0.25">
      <c r="A281" s="119"/>
      <c r="B281" s="120" t="s">
        <v>648</v>
      </c>
      <c r="C281" s="23">
        <v>11.903410703138302</v>
      </c>
      <c r="D281" s="23">
        <v>7.3066227796379328</v>
      </c>
      <c r="E281" s="23">
        <v>15.322626411667898</v>
      </c>
      <c r="F281" s="23">
        <v>14.414618920606095</v>
      </c>
      <c r="G281" s="23">
        <v>10.711650871119687</v>
      </c>
      <c r="H281" s="23">
        <v>11.080528914363544</v>
      </c>
      <c r="I281" s="23">
        <v>14.655808410419388</v>
      </c>
      <c r="J281" s="23">
        <v>31.851200272402249</v>
      </c>
      <c r="K281" s="23"/>
    </row>
    <row r="282" spans="1:12" ht="22.5" x14ac:dyDescent="0.25">
      <c r="A282" s="22"/>
      <c r="B282" s="119"/>
      <c r="C282" s="119" t="s">
        <v>587</v>
      </c>
      <c r="D282" s="119" t="s">
        <v>588</v>
      </c>
      <c r="E282" s="119" t="s">
        <v>589</v>
      </c>
      <c r="F282" s="119" t="s">
        <v>591</v>
      </c>
      <c r="G282" s="119" t="s">
        <v>615</v>
      </c>
      <c r="H282" s="119" t="s">
        <v>590</v>
      </c>
      <c r="I282" s="119" t="s">
        <v>617</v>
      </c>
      <c r="J282" s="119" t="s">
        <v>616</v>
      </c>
      <c r="K282" s="119"/>
    </row>
    <row r="283" spans="1:12" x14ac:dyDescent="0.25">
      <c r="A283" s="27"/>
      <c r="B283" s="28"/>
      <c r="C283" s="28"/>
      <c r="D283" s="28"/>
      <c r="E283" s="28"/>
      <c r="F283" s="117"/>
      <c r="G283" s="117"/>
      <c r="H283" s="117"/>
      <c r="I283" s="29"/>
      <c r="J283" s="29"/>
      <c r="K283" s="29"/>
    </row>
    <row r="284" spans="1:12" x14ac:dyDescent="0.25">
      <c r="A284" s="19" t="str">
        <f>'Lista de Serviços'!A116</f>
        <v>03.02.340</v>
      </c>
      <c r="B284" s="274" t="s">
        <v>649</v>
      </c>
      <c r="C284" s="274"/>
      <c r="D284" s="274"/>
      <c r="E284" s="274"/>
      <c r="F284" s="274"/>
      <c r="G284" s="274"/>
      <c r="H284" s="274"/>
      <c r="I284" s="274"/>
      <c r="J284" s="274"/>
      <c r="K284" s="20"/>
      <c r="L284" s="18" t="s">
        <v>1412</v>
      </c>
    </row>
    <row r="285" spans="1:12" x14ac:dyDescent="0.25">
      <c r="A285" s="275"/>
      <c r="B285" s="275"/>
      <c r="C285" s="21"/>
      <c r="D285" s="21"/>
      <c r="E285" s="21"/>
      <c r="F285" s="21"/>
      <c r="G285" s="275" t="s">
        <v>23</v>
      </c>
      <c r="H285" s="275"/>
      <c r="I285" s="275" t="s">
        <v>24</v>
      </c>
      <c r="J285" s="275"/>
      <c r="K285" s="275"/>
    </row>
    <row r="286" spans="1:12" x14ac:dyDescent="0.25">
      <c r="A286" s="275" t="s">
        <v>25</v>
      </c>
      <c r="B286" s="275"/>
      <c r="C286" s="275" t="s">
        <v>26</v>
      </c>
      <c r="D286" s="275" t="s">
        <v>27</v>
      </c>
      <c r="E286" s="275" t="s">
        <v>28</v>
      </c>
      <c r="F286" s="275" t="s">
        <v>29</v>
      </c>
      <c r="G286" s="119" t="s">
        <v>30</v>
      </c>
      <c r="H286" s="119" t="s">
        <v>31</v>
      </c>
      <c r="I286" s="119" t="s">
        <v>32</v>
      </c>
      <c r="J286" s="119" t="s">
        <v>30</v>
      </c>
      <c r="K286" s="119" t="s">
        <v>31</v>
      </c>
    </row>
    <row r="287" spans="1:12" x14ac:dyDescent="0.25">
      <c r="A287" s="275"/>
      <c r="B287" s="275"/>
      <c r="C287" s="275"/>
      <c r="D287" s="275"/>
      <c r="E287" s="275"/>
      <c r="F287" s="275"/>
      <c r="G287" s="119" t="s">
        <v>33</v>
      </c>
      <c r="H287" s="119" t="s">
        <v>34</v>
      </c>
      <c r="I287" s="119" t="s">
        <v>35</v>
      </c>
      <c r="J287" s="119" t="s">
        <v>33</v>
      </c>
      <c r="K287" s="119" t="s">
        <v>34</v>
      </c>
    </row>
    <row r="288" spans="1:12" x14ac:dyDescent="0.25">
      <c r="A288" s="119"/>
      <c r="B288" s="22" t="s">
        <v>650</v>
      </c>
      <c r="C288" s="23">
        <v>19</v>
      </c>
      <c r="D288" s="23">
        <v>7.24</v>
      </c>
      <c r="E288" s="24">
        <v>1.21</v>
      </c>
      <c r="F288" s="23"/>
      <c r="G288" s="25">
        <v>8.7604000000000006</v>
      </c>
      <c r="H288" s="26"/>
      <c r="I288" s="26"/>
      <c r="J288" s="26">
        <v>166.44760000000002</v>
      </c>
      <c r="K288" s="26"/>
    </row>
    <row r="289" spans="1:11" x14ac:dyDescent="0.25">
      <c r="A289" s="119"/>
      <c r="B289" s="22" t="s">
        <v>651</v>
      </c>
      <c r="C289" s="23">
        <v>1</v>
      </c>
      <c r="D289" s="23">
        <v>7.24</v>
      </c>
      <c r="E289" s="24">
        <v>1.21</v>
      </c>
      <c r="F289" s="23"/>
      <c r="G289" s="25">
        <v>8.7604000000000006</v>
      </c>
      <c r="H289" s="26"/>
      <c r="I289" s="26"/>
      <c r="J289" s="26">
        <v>8.7604000000000006</v>
      </c>
      <c r="K289" s="26"/>
    </row>
    <row r="290" spans="1:11" x14ac:dyDescent="0.25">
      <c r="A290" s="119"/>
      <c r="B290" s="22" t="s">
        <v>652</v>
      </c>
      <c r="C290" s="23">
        <v>1</v>
      </c>
      <c r="D290" s="23">
        <v>7.24</v>
      </c>
      <c r="E290" s="24">
        <v>1.21</v>
      </c>
      <c r="F290" s="23"/>
      <c r="G290" s="25">
        <v>8.7604000000000006</v>
      </c>
      <c r="H290" s="26"/>
      <c r="I290" s="26"/>
      <c r="J290" s="26">
        <v>8.7604000000000006</v>
      </c>
      <c r="K290" s="26"/>
    </row>
    <row r="291" spans="1:11" x14ac:dyDescent="0.25">
      <c r="A291" s="119"/>
      <c r="B291" s="22" t="s">
        <v>653</v>
      </c>
      <c r="C291" s="23">
        <v>31</v>
      </c>
      <c r="D291" s="23">
        <v>7.08</v>
      </c>
      <c r="E291" s="24">
        <v>1.21</v>
      </c>
      <c r="F291" s="23"/>
      <c r="G291" s="25">
        <v>8.5668000000000006</v>
      </c>
      <c r="H291" s="26"/>
      <c r="I291" s="26"/>
      <c r="J291" s="26">
        <v>265.57080000000002</v>
      </c>
      <c r="K291" s="26"/>
    </row>
    <row r="292" spans="1:11" x14ac:dyDescent="0.25">
      <c r="A292" s="119"/>
      <c r="B292" s="22" t="s">
        <v>654</v>
      </c>
      <c r="C292" s="23">
        <v>2</v>
      </c>
      <c r="D292" s="23">
        <v>7.08</v>
      </c>
      <c r="E292" s="24">
        <v>0.71</v>
      </c>
      <c r="F292" s="23"/>
      <c r="G292" s="25">
        <v>5.0267999999999997</v>
      </c>
      <c r="H292" s="26"/>
      <c r="I292" s="26"/>
      <c r="J292" s="26">
        <v>10.053599999999999</v>
      </c>
      <c r="K292" s="26"/>
    </row>
    <row r="293" spans="1:11" x14ac:dyDescent="0.25">
      <c r="A293" s="119"/>
      <c r="B293" s="22" t="s">
        <v>655</v>
      </c>
      <c r="C293" s="23">
        <v>1</v>
      </c>
      <c r="D293" s="23">
        <v>7.08</v>
      </c>
      <c r="E293" s="24">
        <v>1.21</v>
      </c>
      <c r="F293" s="23"/>
      <c r="G293" s="25">
        <v>8.5668000000000006</v>
      </c>
      <c r="H293" s="26"/>
      <c r="I293" s="26"/>
      <c r="J293" s="26">
        <v>8.5668000000000006</v>
      </c>
      <c r="K293" s="26"/>
    </row>
    <row r="294" spans="1:11" x14ac:dyDescent="0.25">
      <c r="A294" s="119"/>
      <c r="B294" s="22" t="s">
        <v>656</v>
      </c>
      <c r="C294" s="23">
        <v>1</v>
      </c>
      <c r="D294" s="23">
        <v>7.08</v>
      </c>
      <c r="E294" s="24">
        <v>0.71</v>
      </c>
      <c r="F294" s="23"/>
      <c r="G294" s="25">
        <v>5.0267999999999997</v>
      </c>
      <c r="H294" s="26"/>
      <c r="I294" s="26"/>
      <c r="J294" s="26">
        <v>5.0267999999999997</v>
      </c>
      <c r="K294" s="26"/>
    </row>
    <row r="295" spans="1:11" x14ac:dyDescent="0.25">
      <c r="A295" s="119"/>
      <c r="B295" s="22" t="s">
        <v>657</v>
      </c>
      <c r="C295" s="23">
        <v>1</v>
      </c>
      <c r="D295" s="23">
        <v>7.08</v>
      </c>
      <c r="E295" s="24">
        <v>1.21</v>
      </c>
      <c r="F295" s="23"/>
      <c r="G295" s="25">
        <v>8.5668000000000006</v>
      </c>
      <c r="H295" s="26"/>
      <c r="I295" s="26"/>
      <c r="J295" s="26">
        <v>8.5668000000000006</v>
      </c>
      <c r="K295" s="26"/>
    </row>
    <row r="296" spans="1:11" x14ac:dyDescent="0.25">
      <c r="A296" s="119"/>
      <c r="B296" s="22" t="s">
        <v>658</v>
      </c>
      <c r="C296" s="23">
        <v>1</v>
      </c>
      <c r="D296" s="23">
        <v>7.08</v>
      </c>
      <c r="E296" s="24">
        <v>1.21</v>
      </c>
      <c r="F296" s="23"/>
      <c r="G296" s="25">
        <v>8.5668000000000006</v>
      </c>
      <c r="H296" s="26"/>
      <c r="I296" s="26"/>
      <c r="J296" s="26">
        <v>8.5668000000000006</v>
      </c>
      <c r="K296" s="26"/>
    </row>
    <row r="297" spans="1:11" x14ac:dyDescent="0.25">
      <c r="A297" s="119"/>
      <c r="B297" s="22" t="s">
        <v>659</v>
      </c>
      <c r="C297" s="23">
        <v>3</v>
      </c>
      <c r="D297" s="23">
        <v>7.08</v>
      </c>
      <c r="E297" s="24">
        <v>1.21</v>
      </c>
      <c r="F297" s="23"/>
      <c r="G297" s="25">
        <v>8.5668000000000006</v>
      </c>
      <c r="H297" s="26"/>
      <c r="I297" s="26"/>
      <c r="J297" s="26">
        <v>25.700400000000002</v>
      </c>
      <c r="K297" s="26"/>
    </row>
    <row r="298" spans="1:11" x14ac:dyDescent="0.25">
      <c r="A298" s="119"/>
      <c r="B298" s="22" t="s">
        <v>660</v>
      </c>
      <c r="C298" s="23">
        <v>1</v>
      </c>
      <c r="D298" s="23">
        <v>4.42</v>
      </c>
      <c r="E298" s="24">
        <v>1.21</v>
      </c>
      <c r="F298" s="23"/>
      <c r="G298" s="25">
        <v>5.3481999999999994</v>
      </c>
      <c r="H298" s="26"/>
      <c r="I298" s="26"/>
      <c r="J298" s="26">
        <v>5.3481999999999994</v>
      </c>
      <c r="K298" s="26"/>
    </row>
    <row r="299" spans="1:11" x14ac:dyDescent="0.25">
      <c r="A299" s="119"/>
      <c r="B299" s="22" t="s">
        <v>661</v>
      </c>
      <c r="C299" s="23">
        <v>1</v>
      </c>
      <c r="D299" s="23">
        <v>7.24</v>
      </c>
      <c r="E299" s="24">
        <v>0.81499999999999995</v>
      </c>
      <c r="F299" s="23"/>
      <c r="G299" s="25">
        <v>5.9005999999999998</v>
      </c>
      <c r="H299" s="26"/>
      <c r="I299" s="26"/>
      <c r="J299" s="26">
        <v>5.9005999999999998</v>
      </c>
      <c r="K299" s="26"/>
    </row>
    <row r="300" spans="1:11" x14ac:dyDescent="0.25">
      <c r="A300" s="119"/>
      <c r="B300" s="22" t="s">
        <v>662</v>
      </c>
      <c r="C300" s="23">
        <v>1</v>
      </c>
      <c r="D300" s="23">
        <v>7.24</v>
      </c>
      <c r="E300" s="24">
        <v>0.81499999999999995</v>
      </c>
      <c r="F300" s="23"/>
      <c r="G300" s="25">
        <v>5.9005999999999998</v>
      </c>
      <c r="H300" s="26"/>
      <c r="I300" s="26"/>
      <c r="J300" s="26">
        <v>5.9005999999999998</v>
      </c>
      <c r="K300" s="26"/>
    </row>
    <row r="301" spans="1:11" x14ac:dyDescent="0.25">
      <c r="A301" s="119"/>
      <c r="B301" s="22" t="s">
        <v>663</v>
      </c>
      <c r="C301" s="23">
        <v>1</v>
      </c>
      <c r="D301" s="23">
        <v>7.24</v>
      </c>
      <c r="E301" s="24">
        <v>1.21</v>
      </c>
      <c r="F301" s="23"/>
      <c r="G301" s="25">
        <v>8.7604000000000006</v>
      </c>
      <c r="H301" s="26"/>
      <c r="I301" s="26"/>
      <c r="J301" s="26">
        <v>8.7604000000000006</v>
      </c>
      <c r="K301" s="26"/>
    </row>
    <row r="302" spans="1:11" x14ac:dyDescent="0.25">
      <c r="A302" s="119"/>
      <c r="B302" s="22" t="s">
        <v>664</v>
      </c>
      <c r="C302" s="23">
        <v>1</v>
      </c>
      <c r="D302" s="23">
        <v>1.2050000000000001</v>
      </c>
      <c r="E302" s="24">
        <v>0.63</v>
      </c>
      <c r="F302" s="23"/>
      <c r="G302" s="25">
        <v>0.7591500000000001</v>
      </c>
      <c r="H302" s="26"/>
      <c r="I302" s="26"/>
      <c r="J302" s="26">
        <v>0.7591500000000001</v>
      </c>
      <c r="K302" s="26"/>
    </row>
    <row r="303" spans="1:11" x14ac:dyDescent="0.25">
      <c r="A303" s="119"/>
      <c r="B303" s="22" t="s">
        <v>665</v>
      </c>
      <c r="C303" s="23">
        <v>1</v>
      </c>
      <c r="D303" s="23">
        <v>4.0250000000000004</v>
      </c>
      <c r="E303" s="24">
        <v>1.21</v>
      </c>
      <c r="F303" s="23"/>
      <c r="G303" s="25">
        <v>4.8702500000000004</v>
      </c>
      <c r="H303" s="26"/>
      <c r="I303" s="26"/>
      <c r="J303" s="26">
        <v>4.8702500000000004</v>
      </c>
      <c r="K303" s="26"/>
    </row>
    <row r="304" spans="1:11" x14ac:dyDescent="0.25">
      <c r="A304" s="119"/>
      <c r="B304" s="22" t="s">
        <v>666</v>
      </c>
      <c r="C304" s="23">
        <v>1</v>
      </c>
      <c r="D304" s="23">
        <v>4.0250000000000004</v>
      </c>
      <c r="E304" s="24">
        <v>1.21</v>
      </c>
      <c r="F304" s="23"/>
      <c r="G304" s="25">
        <v>4.8702500000000004</v>
      </c>
      <c r="H304" s="26"/>
      <c r="I304" s="26"/>
      <c r="J304" s="26">
        <v>4.8702500000000004</v>
      </c>
      <c r="K304" s="26"/>
    </row>
    <row r="305" spans="1:12" x14ac:dyDescent="0.25">
      <c r="A305" s="119"/>
      <c r="B305" s="22" t="s">
        <v>667</v>
      </c>
      <c r="C305" s="23">
        <v>1</v>
      </c>
      <c r="D305" s="23">
        <v>4.0250000000000004</v>
      </c>
      <c r="E305" s="24">
        <v>0.87</v>
      </c>
      <c r="F305" s="23"/>
      <c r="G305" s="25">
        <v>3.5017500000000004</v>
      </c>
      <c r="H305" s="26"/>
      <c r="I305" s="26"/>
      <c r="J305" s="26">
        <v>3.5017500000000004</v>
      </c>
      <c r="K305" s="26"/>
    </row>
    <row r="306" spans="1:12" x14ac:dyDescent="0.25">
      <c r="A306" s="119"/>
      <c r="B306" s="22" t="s">
        <v>668</v>
      </c>
      <c r="C306" s="23">
        <v>1</v>
      </c>
      <c r="D306" s="23">
        <v>4.0250000000000004</v>
      </c>
      <c r="E306" s="24">
        <v>1.21</v>
      </c>
      <c r="F306" s="23"/>
      <c r="G306" s="25">
        <v>4.8702500000000004</v>
      </c>
      <c r="H306" s="26"/>
      <c r="I306" s="26"/>
      <c r="J306" s="26">
        <v>4.8702500000000004</v>
      </c>
      <c r="K306" s="26"/>
    </row>
    <row r="307" spans="1:12" x14ac:dyDescent="0.25">
      <c r="A307" s="119"/>
      <c r="B307" s="22" t="s">
        <v>669</v>
      </c>
      <c r="C307" s="23">
        <v>1</v>
      </c>
      <c r="D307" s="23">
        <v>1.1499999999999999</v>
      </c>
      <c r="E307" s="24">
        <v>1.21</v>
      </c>
      <c r="F307" s="23"/>
      <c r="G307" s="25">
        <v>1.3915</v>
      </c>
      <c r="H307" s="26"/>
      <c r="I307" s="26"/>
      <c r="J307" s="26">
        <v>1.3915</v>
      </c>
      <c r="K307" s="26"/>
    </row>
    <row r="308" spans="1:12" x14ac:dyDescent="0.25">
      <c r="A308" s="119"/>
      <c r="B308" s="22" t="s">
        <v>670</v>
      </c>
      <c r="C308" s="23">
        <v>1</v>
      </c>
      <c r="D308" s="23">
        <v>1.1499999999999999</v>
      </c>
      <c r="E308" s="24">
        <v>0.63</v>
      </c>
      <c r="F308" s="23"/>
      <c r="G308" s="25">
        <v>0.72449999999999992</v>
      </c>
      <c r="H308" s="26"/>
      <c r="I308" s="26"/>
      <c r="J308" s="26">
        <v>0.72449999999999992</v>
      </c>
      <c r="K308" s="26"/>
    </row>
    <row r="309" spans="1:12" x14ac:dyDescent="0.25">
      <c r="A309" s="119"/>
      <c r="B309" s="22" t="s">
        <v>671</v>
      </c>
      <c r="C309" s="23">
        <v>12</v>
      </c>
      <c r="D309" s="23">
        <v>9.83</v>
      </c>
      <c r="E309" s="24">
        <v>1.21</v>
      </c>
      <c r="F309" s="23"/>
      <c r="G309" s="25">
        <v>11.894299999999999</v>
      </c>
      <c r="H309" s="26"/>
      <c r="I309" s="26"/>
      <c r="J309" s="26">
        <v>142.73159999999999</v>
      </c>
      <c r="K309" s="26"/>
    </row>
    <row r="310" spans="1:12" x14ac:dyDescent="0.25">
      <c r="A310" s="119"/>
      <c r="B310" s="22" t="s">
        <v>672</v>
      </c>
      <c r="C310" s="23">
        <v>20</v>
      </c>
      <c r="D310" s="23">
        <v>9.83</v>
      </c>
      <c r="E310" s="24">
        <v>1.21</v>
      </c>
      <c r="F310" s="23"/>
      <c r="G310" s="25">
        <v>11.894299999999999</v>
      </c>
      <c r="H310" s="26"/>
      <c r="I310" s="26"/>
      <c r="J310" s="26">
        <v>237.886</v>
      </c>
      <c r="K310" s="26"/>
    </row>
    <row r="311" spans="1:12" x14ac:dyDescent="0.25">
      <c r="A311" s="119"/>
      <c r="B311" s="22" t="s">
        <v>673</v>
      </c>
      <c r="C311" s="23">
        <v>4</v>
      </c>
      <c r="D311" s="23">
        <v>9.83</v>
      </c>
      <c r="E311" s="24">
        <v>1.21</v>
      </c>
      <c r="F311" s="23"/>
      <c r="G311" s="25">
        <v>11.894299999999999</v>
      </c>
      <c r="H311" s="26"/>
      <c r="I311" s="26"/>
      <c r="J311" s="26">
        <v>47.577199999999998</v>
      </c>
      <c r="K311" s="26"/>
    </row>
    <row r="312" spans="1:12" x14ac:dyDescent="0.25">
      <c r="A312" s="119"/>
      <c r="B312" s="22" t="s">
        <v>674</v>
      </c>
      <c r="C312" s="23">
        <v>24</v>
      </c>
      <c r="D312" s="23">
        <v>9.83</v>
      </c>
      <c r="E312" s="24">
        <v>1.21</v>
      </c>
      <c r="F312" s="23"/>
      <c r="G312" s="25">
        <v>11.894299999999999</v>
      </c>
      <c r="H312" s="26"/>
      <c r="I312" s="26"/>
      <c r="J312" s="26">
        <v>285.46319999999997</v>
      </c>
      <c r="K312" s="26"/>
    </row>
    <row r="313" spans="1:12" x14ac:dyDescent="0.25">
      <c r="A313" s="119"/>
      <c r="B313" s="22" t="s">
        <v>675</v>
      </c>
      <c r="C313" s="23">
        <v>2</v>
      </c>
      <c r="D313" s="23">
        <v>9.83</v>
      </c>
      <c r="E313" s="24">
        <v>1.2</v>
      </c>
      <c r="F313" s="23"/>
      <c r="G313" s="25">
        <v>11.795999999999999</v>
      </c>
      <c r="H313" s="26"/>
      <c r="I313" s="26"/>
      <c r="J313" s="26">
        <v>23.591999999999999</v>
      </c>
      <c r="K313" s="26"/>
    </row>
    <row r="314" spans="1:12" x14ac:dyDescent="0.25">
      <c r="A314" s="27"/>
      <c r="B314" s="28"/>
      <c r="C314" s="28"/>
      <c r="D314" s="28"/>
      <c r="E314" s="28"/>
      <c r="F314" s="272" t="s">
        <v>36</v>
      </c>
      <c r="G314" s="272"/>
      <c r="H314" s="272"/>
      <c r="I314" s="29"/>
      <c r="J314" s="29">
        <v>1300.17</v>
      </c>
      <c r="K314" s="29"/>
    </row>
    <row r="315" spans="1:12" x14ac:dyDescent="0.25">
      <c r="A315" s="27"/>
      <c r="B315" s="28"/>
      <c r="C315" s="28"/>
      <c r="D315" s="28"/>
      <c r="E315" s="28"/>
      <c r="F315" s="117"/>
      <c r="G315" s="117"/>
      <c r="H315" s="117"/>
      <c r="I315" s="29"/>
      <c r="J315" s="29"/>
      <c r="K315" s="29"/>
    </row>
    <row r="316" spans="1:12" ht="25.5" customHeight="1" x14ac:dyDescent="0.25">
      <c r="A316" s="19" t="str">
        <f>'Lista de Serviços'!A120</f>
        <v>04.01.101</v>
      </c>
      <c r="B316" s="274" t="str">
        <f>'Lista de Serviços'!B121</f>
        <v>ALVENARIA EM TIJOLO CERAMICO MACICO 5X10X20CM 1/2 VEZ (ESPESSURA 10CM), ASSENTADO COM ARGAMASSA TRACO 1:2:8 (CIMENTO, CAL E AREIA)</v>
      </c>
      <c r="C316" s="274"/>
      <c r="D316" s="274"/>
      <c r="E316" s="274"/>
      <c r="F316" s="274"/>
      <c r="G316" s="274"/>
      <c r="H316" s="274"/>
      <c r="I316" s="274"/>
      <c r="J316" s="274"/>
      <c r="K316" s="20"/>
      <c r="L316" s="18" t="s">
        <v>1412</v>
      </c>
    </row>
    <row r="317" spans="1:12" x14ac:dyDescent="0.25">
      <c r="A317" s="275"/>
      <c r="B317" s="275"/>
      <c r="C317" s="21"/>
      <c r="D317" s="21"/>
      <c r="E317" s="21"/>
      <c r="F317" s="21"/>
      <c r="G317" s="275" t="s">
        <v>23</v>
      </c>
      <c r="H317" s="275"/>
      <c r="I317" s="275" t="s">
        <v>24</v>
      </c>
      <c r="J317" s="275"/>
      <c r="K317" s="275"/>
    </row>
    <row r="318" spans="1:12" x14ac:dyDescent="0.25">
      <c r="A318" s="275" t="s">
        <v>25</v>
      </c>
      <c r="B318" s="275"/>
      <c r="C318" s="275" t="s">
        <v>26</v>
      </c>
      <c r="D318" s="275" t="s">
        <v>27</v>
      </c>
      <c r="E318" s="275" t="s">
        <v>28</v>
      </c>
      <c r="F318" s="275" t="s">
        <v>29</v>
      </c>
      <c r="G318" s="80" t="s">
        <v>30</v>
      </c>
      <c r="H318" s="80" t="s">
        <v>31</v>
      </c>
      <c r="I318" s="80" t="s">
        <v>32</v>
      </c>
      <c r="J318" s="80" t="s">
        <v>30</v>
      </c>
      <c r="K318" s="80" t="s">
        <v>31</v>
      </c>
    </row>
    <row r="319" spans="1:12" x14ac:dyDescent="0.25">
      <c r="A319" s="275"/>
      <c r="B319" s="275"/>
      <c r="C319" s="275"/>
      <c r="D319" s="275"/>
      <c r="E319" s="275"/>
      <c r="F319" s="275"/>
      <c r="G319" s="80" t="s">
        <v>33</v>
      </c>
      <c r="H319" s="80" t="s">
        <v>34</v>
      </c>
      <c r="I319" s="80" t="s">
        <v>35</v>
      </c>
      <c r="J319" s="80" t="s">
        <v>33</v>
      </c>
      <c r="K319" s="80" t="s">
        <v>34</v>
      </c>
    </row>
    <row r="320" spans="1:12" ht="22.5" x14ac:dyDescent="0.25">
      <c r="A320" s="80"/>
      <c r="B320" s="22" t="s">
        <v>477</v>
      </c>
      <c r="C320" s="23">
        <v>1</v>
      </c>
      <c r="D320" s="23">
        <v>79.599999999999994</v>
      </c>
      <c r="E320" s="24"/>
      <c r="F320" s="23">
        <v>0.22</v>
      </c>
      <c r="G320" s="79">
        <v>17.512</v>
      </c>
      <c r="H320" s="26"/>
      <c r="I320" s="26"/>
      <c r="J320" s="26">
        <v>17.512</v>
      </c>
      <c r="K320" s="26"/>
    </row>
    <row r="321" spans="1:11" x14ac:dyDescent="0.25">
      <c r="A321" s="113"/>
      <c r="B321" s="22" t="s">
        <v>474</v>
      </c>
      <c r="C321" s="23">
        <v>1</v>
      </c>
      <c r="D321" s="23">
        <v>2.8</v>
      </c>
      <c r="E321" s="24"/>
      <c r="F321" s="23">
        <v>0.83</v>
      </c>
      <c r="G321" s="79">
        <v>2.3239999999999998</v>
      </c>
      <c r="H321" s="26"/>
      <c r="I321" s="26"/>
      <c r="J321" s="26">
        <v>2.3239999999999998</v>
      </c>
      <c r="K321" s="26"/>
    </row>
    <row r="322" spans="1:11" x14ac:dyDescent="0.25">
      <c r="A322" s="113"/>
      <c r="B322" s="22" t="s">
        <v>475</v>
      </c>
      <c r="C322" s="23">
        <v>1</v>
      </c>
      <c r="D322" s="23">
        <v>2.1</v>
      </c>
      <c r="E322" s="24"/>
      <c r="F322" s="23">
        <v>0.83</v>
      </c>
      <c r="G322" s="79">
        <v>1.7429999999999999</v>
      </c>
      <c r="H322" s="26"/>
      <c r="I322" s="26"/>
      <c r="J322" s="26">
        <v>1.7429999999999999</v>
      </c>
      <c r="K322" s="26"/>
    </row>
    <row r="323" spans="1:11" x14ac:dyDescent="0.25">
      <c r="A323" s="113"/>
      <c r="B323" s="22" t="s">
        <v>478</v>
      </c>
      <c r="C323" s="23">
        <v>1</v>
      </c>
      <c r="D323" s="23">
        <v>2.8</v>
      </c>
      <c r="E323" s="24"/>
      <c r="F323" s="23">
        <v>0.83</v>
      </c>
      <c r="G323" s="79">
        <v>2.3239999999999998</v>
      </c>
      <c r="H323" s="26"/>
      <c r="I323" s="26"/>
      <c r="J323" s="26">
        <v>2.3239999999999998</v>
      </c>
      <c r="K323" s="26"/>
    </row>
    <row r="324" spans="1:11" x14ac:dyDescent="0.25">
      <c r="A324" s="113"/>
      <c r="B324" s="22" t="s">
        <v>479</v>
      </c>
      <c r="C324" s="23">
        <v>1</v>
      </c>
      <c r="D324" s="23">
        <v>2.4</v>
      </c>
      <c r="E324" s="24"/>
      <c r="F324" s="23">
        <v>0.83</v>
      </c>
      <c r="G324" s="79">
        <v>1.9919999999999998</v>
      </c>
      <c r="H324" s="26"/>
      <c r="I324" s="26"/>
      <c r="J324" s="26">
        <v>1.9919999999999998</v>
      </c>
      <c r="K324" s="26"/>
    </row>
    <row r="325" spans="1:11" x14ac:dyDescent="0.25">
      <c r="A325" s="113"/>
      <c r="B325" s="22" t="s">
        <v>479</v>
      </c>
      <c r="C325" s="23">
        <v>1</v>
      </c>
      <c r="D325" s="23">
        <v>1.5</v>
      </c>
      <c r="E325" s="24"/>
      <c r="F325" s="23">
        <v>0.43</v>
      </c>
      <c r="G325" s="79">
        <v>0.64500000000000002</v>
      </c>
      <c r="H325" s="26"/>
      <c r="I325" s="26"/>
      <c r="J325" s="26">
        <v>0.64500000000000002</v>
      </c>
      <c r="K325" s="26"/>
    </row>
    <row r="326" spans="1:11" x14ac:dyDescent="0.25">
      <c r="A326" s="113"/>
      <c r="B326" s="22" t="s">
        <v>480</v>
      </c>
      <c r="C326" s="23">
        <v>1</v>
      </c>
      <c r="D326" s="23">
        <v>2.4</v>
      </c>
      <c r="E326" s="24"/>
      <c r="F326" s="23">
        <v>0.83</v>
      </c>
      <c r="G326" s="79">
        <v>1.9919999999999998</v>
      </c>
      <c r="H326" s="26"/>
      <c r="I326" s="26"/>
      <c r="J326" s="26">
        <v>1.9919999999999998</v>
      </c>
      <c r="K326" s="26"/>
    </row>
    <row r="327" spans="1:11" x14ac:dyDescent="0.25">
      <c r="A327" s="113"/>
      <c r="B327" s="22" t="s">
        <v>481</v>
      </c>
      <c r="C327" s="23">
        <v>1</v>
      </c>
      <c r="D327" s="23">
        <v>1.2</v>
      </c>
      <c r="E327" s="24"/>
      <c r="F327" s="23">
        <v>0.83</v>
      </c>
      <c r="G327" s="79">
        <v>0.99599999999999989</v>
      </c>
      <c r="H327" s="26"/>
      <c r="I327" s="26"/>
      <c r="J327" s="26">
        <v>0.99599999999999989</v>
      </c>
      <c r="K327" s="26"/>
    </row>
    <row r="328" spans="1:11" x14ac:dyDescent="0.25">
      <c r="A328" s="113"/>
      <c r="B328" s="22" t="s">
        <v>481</v>
      </c>
      <c r="C328" s="23">
        <v>1</v>
      </c>
      <c r="D328" s="23">
        <v>2.4</v>
      </c>
      <c r="E328" s="24"/>
      <c r="F328" s="23">
        <v>0.43</v>
      </c>
      <c r="G328" s="79">
        <v>1.032</v>
      </c>
      <c r="H328" s="26"/>
      <c r="I328" s="26"/>
      <c r="J328" s="26">
        <v>1.032</v>
      </c>
      <c r="K328" s="26"/>
    </row>
    <row r="329" spans="1:11" x14ac:dyDescent="0.25">
      <c r="A329" s="113"/>
      <c r="B329" s="22" t="s">
        <v>482</v>
      </c>
      <c r="C329" s="23">
        <v>1</v>
      </c>
      <c r="D329" s="23">
        <v>2.1</v>
      </c>
      <c r="E329" s="24"/>
      <c r="F329" s="23">
        <v>0.83</v>
      </c>
      <c r="G329" s="79">
        <v>1.7429999999999999</v>
      </c>
      <c r="H329" s="26"/>
      <c r="I329" s="26"/>
      <c r="J329" s="26">
        <v>1.7429999999999999</v>
      </c>
      <c r="K329" s="26"/>
    </row>
    <row r="330" spans="1:11" x14ac:dyDescent="0.25">
      <c r="A330" s="113"/>
      <c r="B330" s="22" t="s">
        <v>482</v>
      </c>
      <c r="C330" s="23">
        <v>1</v>
      </c>
      <c r="D330" s="23">
        <v>2.8</v>
      </c>
      <c r="E330" s="24"/>
      <c r="F330" s="23">
        <v>0.43</v>
      </c>
      <c r="G330" s="79">
        <v>1.204</v>
      </c>
      <c r="H330" s="26"/>
      <c r="I330" s="26"/>
      <c r="J330" s="26">
        <v>1.204</v>
      </c>
      <c r="K330" s="26"/>
    </row>
    <row r="331" spans="1:11" x14ac:dyDescent="0.25">
      <c r="A331" s="113"/>
      <c r="B331" s="22" t="s">
        <v>483</v>
      </c>
      <c r="C331" s="23">
        <v>1</v>
      </c>
      <c r="D331" s="23">
        <v>2.8</v>
      </c>
      <c r="E331" s="24"/>
      <c r="F331" s="23">
        <v>0.83</v>
      </c>
      <c r="G331" s="79">
        <v>2.3239999999999998</v>
      </c>
      <c r="H331" s="26"/>
      <c r="I331" s="26"/>
      <c r="J331" s="26">
        <v>2.3239999999999998</v>
      </c>
      <c r="K331" s="26"/>
    </row>
    <row r="332" spans="1:11" x14ac:dyDescent="0.25">
      <c r="A332" s="113"/>
      <c r="B332" s="22" t="s">
        <v>484</v>
      </c>
      <c r="C332" s="23">
        <v>1</v>
      </c>
      <c r="D332" s="23">
        <v>4</v>
      </c>
      <c r="E332" s="24"/>
      <c r="F332" s="23">
        <v>0.83</v>
      </c>
      <c r="G332" s="79">
        <v>3.32</v>
      </c>
      <c r="H332" s="26"/>
      <c r="I332" s="26"/>
      <c r="J332" s="26">
        <v>3.32</v>
      </c>
      <c r="K332" s="26"/>
    </row>
    <row r="333" spans="1:11" x14ac:dyDescent="0.25">
      <c r="A333" s="113"/>
      <c r="B333" s="22" t="s">
        <v>485</v>
      </c>
      <c r="C333" s="23">
        <v>1</v>
      </c>
      <c r="D333" s="23">
        <v>2.1</v>
      </c>
      <c r="E333" s="24"/>
      <c r="F333" s="23">
        <v>0.83</v>
      </c>
      <c r="G333" s="79">
        <v>1.7429999999999999</v>
      </c>
      <c r="H333" s="26"/>
      <c r="I333" s="26"/>
      <c r="J333" s="26">
        <v>1.7429999999999999</v>
      </c>
      <c r="K333" s="26"/>
    </row>
    <row r="334" spans="1:11" x14ac:dyDescent="0.25">
      <c r="A334" s="113"/>
      <c r="B334" s="22" t="s">
        <v>485</v>
      </c>
      <c r="C334" s="23">
        <v>1</v>
      </c>
      <c r="D334" s="23">
        <v>1.4</v>
      </c>
      <c r="E334" s="24"/>
      <c r="F334" s="23">
        <v>0.43</v>
      </c>
      <c r="G334" s="79">
        <v>0.60199999999999998</v>
      </c>
      <c r="H334" s="26"/>
      <c r="I334" s="26"/>
      <c r="J334" s="26">
        <v>0.60199999999999998</v>
      </c>
      <c r="K334" s="26"/>
    </row>
    <row r="335" spans="1:11" x14ac:dyDescent="0.25">
      <c r="A335" s="113"/>
      <c r="B335" s="22" t="s">
        <v>486</v>
      </c>
      <c r="C335" s="23">
        <v>1</v>
      </c>
      <c r="D335" s="23">
        <v>2.4</v>
      </c>
      <c r="E335" s="24"/>
      <c r="F335" s="23">
        <v>0.83</v>
      </c>
      <c r="G335" s="79">
        <v>1.9919999999999998</v>
      </c>
      <c r="H335" s="26"/>
      <c r="I335" s="26"/>
      <c r="J335" s="26">
        <v>1.9919999999999998</v>
      </c>
      <c r="K335" s="26"/>
    </row>
    <row r="336" spans="1:11" x14ac:dyDescent="0.25">
      <c r="A336" s="113"/>
      <c r="B336" s="22" t="s">
        <v>487</v>
      </c>
      <c r="C336" s="23">
        <v>1</v>
      </c>
      <c r="D336" s="23">
        <v>3.2</v>
      </c>
      <c r="E336" s="24"/>
      <c r="F336" s="23">
        <v>0.83</v>
      </c>
      <c r="G336" s="79">
        <v>2.6560000000000001</v>
      </c>
      <c r="H336" s="26"/>
      <c r="I336" s="26"/>
      <c r="J336" s="26">
        <v>2.6560000000000001</v>
      </c>
      <c r="K336" s="26"/>
    </row>
    <row r="337" spans="1:12" x14ac:dyDescent="0.25">
      <c r="A337" s="113"/>
      <c r="B337" s="22" t="s">
        <v>487</v>
      </c>
      <c r="C337" s="23">
        <v>1</v>
      </c>
      <c r="D337" s="23">
        <v>1.6</v>
      </c>
      <c r="E337" s="24"/>
      <c r="F337" s="23">
        <v>0.43</v>
      </c>
      <c r="G337" s="79">
        <v>0.68800000000000006</v>
      </c>
      <c r="H337" s="26"/>
      <c r="I337" s="26"/>
      <c r="J337" s="26">
        <v>0.68800000000000006</v>
      </c>
      <c r="K337" s="26"/>
    </row>
    <row r="338" spans="1:12" x14ac:dyDescent="0.25">
      <c r="A338" s="113"/>
      <c r="B338" s="22" t="s">
        <v>488</v>
      </c>
      <c r="C338" s="23">
        <v>1</v>
      </c>
      <c r="D338" s="23">
        <v>0.75</v>
      </c>
      <c r="E338" s="24"/>
      <c r="F338" s="23">
        <v>0.83</v>
      </c>
      <c r="G338" s="79">
        <v>0.62249999999999994</v>
      </c>
      <c r="H338" s="26"/>
      <c r="I338" s="26"/>
      <c r="J338" s="26">
        <v>0.62249999999999994</v>
      </c>
      <c r="K338" s="26"/>
    </row>
    <row r="339" spans="1:12" x14ac:dyDescent="0.25">
      <c r="A339" s="113"/>
      <c r="B339" s="22" t="s">
        <v>489</v>
      </c>
      <c r="C339" s="23">
        <v>1</v>
      </c>
      <c r="D339" s="23">
        <v>1.6</v>
      </c>
      <c r="E339" s="24"/>
      <c r="F339" s="23">
        <v>0.83</v>
      </c>
      <c r="G339" s="79">
        <v>1.3280000000000001</v>
      </c>
      <c r="H339" s="26"/>
      <c r="I339" s="26"/>
      <c r="J339" s="26">
        <v>1.3280000000000001</v>
      </c>
      <c r="K339" s="26"/>
    </row>
    <row r="340" spans="1:12" x14ac:dyDescent="0.25">
      <c r="A340" s="113"/>
      <c r="B340" s="22" t="s">
        <v>490</v>
      </c>
      <c r="C340" s="23">
        <v>1</v>
      </c>
      <c r="D340" s="23">
        <v>2.4</v>
      </c>
      <c r="E340" s="24"/>
      <c r="F340" s="23">
        <v>0.83</v>
      </c>
      <c r="G340" s="79">
        <v>1.9919999999999998</v>
      </c>
      <c r="H340" s="26"/>
      <c r="I340" s="26"/>
      <c r="J340" s="26">
        <v>1.9919999999999998</v>
      </c>
      <c r="K340" s="26"/>
    </row>
    <row r="341" spans="1:12" x14ac:dyDescent="0.25">
      <c r="A341" s="113"/>
      <c r="B341" s="22" t="s">
        <v>490</v>
      </c>
      <c r="C341" s="23">
        <v>1</v>
      </c>
      <c r="D341" s="23">
        <v>1.2</v>
      </c>
      <c r="E341" s="24"/>
      <c r="F341" s="23">
        <v>0.43</v>
      </c>
      <c r="G341" s="79">
        <v>0.51600000000000001</v>
      </c>
      <c r="H341" s="26"/>
      <c r="I341" s="26"/>
      <c r="J341" s="26">
        <v>0.51600000000000001</v>
      </c>
      <c r="K341" s="26"/>
    </row>
    <row r="342" spans="1:12" x14ac:dyDescent="0.25">
      <c r="A342" s="113"/>
      <c r="B342" s="22" t="s">
        <v>491</v>
      </c>
      <c r="C342" s="23">
        <v>1</v>
      </c>
      <c r="D342" s="23">
        <v>2.8</v>
      </c>
      <c r="E342" s="24"/>
      <c r="F342" s="23">
        <v>0.83</v>
      </c>
      <c r="G342" s="79">
        <v>2.3239999999999998</v>
      </c>
      <c r="H342" s="26"/>
      <c r="I342" s="26"/>
      <c r="J342" s="26">
        <v>2.3239999999999998</v>
      </c>
      <c r="K342" s="26"/>
    </row>
    <row r="343" spans="1:12" x14ac:dyDescent="0.25">
      <c r="A343" s="113"/>
      <c r="B343" s="22" t="s">
        <v>493</v>
      </c>
      <c r="C343" s="23">
        <v>1</v>
      </c>
      <c r="D343" s="23">
        <v>1.4</v>
      </c>
      <c r="E343" s="24"/>
      <c r="F343" s="23">
        <v>0.83</v>
      </c>
      <c r="G343" s="79">
        <v>1.1619999999999999</v>
      </c>
      <c r="H343" s="26"/>
      <c r="I343" s="26"/>
      <c r="J343" s="26">
        <v>1.1619999999999999</v>
      </c>
      <c r="K343" s="26"/>
    </row>
    <row r="344" spans="1:12" x14ac:dyDescent="0.25">
      <c r="A344" s="113"/>
      <c r="B344" s="22" t="s">
        <v>492</v>
      </c>
      <c r="C344" s="23">
        <v>1</v>
      </c>
      <c r="D344" s="23">
        <v>4</v>
      </c>
      <c r="E344" s="24"/>
      <c r="F344" s="23">
        <v>0.83</v>
      </c>
      <c r="G344" s="79">
        <v>3.32</v>
      </c>
      <c r="H344" s="26"/>
      <c r="I344" s="26"/>
      <c r="J344" s="26">
        <v>3.32</v>
      </c>
      <c r="K344" s="26"/>
    </row>
    <row r="345" spans="1:12" x14ac:dyDescent="0.25">
      <c r="A345" s="27"/>
      <c r="B345" s="28"/>
      <c r="C345" s="28"/>
      <c r="D345" s="28"/>
      <c r="E345" s="28"/>
      <c r="F345" s="272" t="s">
        <v>36</v>
      </c>
      <c r="G345" s="272"/>
      <c r="H345" s="272"/>
      <c r="I345" s="29"/>
      <c r="J345" s="29">
        <v>58.1</v>
      </c>
      <c r="K345" s="29"/>
    </row>
    <row r="346" spans="1:12" x14ac:dyDescent="0.25">
      <c r="A346" s="80"/>
      <c r="B346" s="273"/>
      <c r="C346" s="273"/>
      <c r="D346" s="273"/>
      <c r="E346" s="273"/>
      <c r="F346" s="273"/>
      <c r="G346" s="273"/>
      <c r="H346" s="273"/>
      <c r="I346" s="273"/>
      <c r="J346" s="273"/>
      <c r="K346" s="80"/>
    </row>
    <row r="347" spans="1:12" ht="26.25" customHeight="1" x14ac:dyDescent="0.25">
      <c r="A347" s="19" t="str">
        <f>'Lista de Serviços'!A122</f>
        <v>04.01.111</v>
      </c>
      <c r="B347" s="274" t="str">
        <f>'Lista de Serviços'!B123</f>
        <v>(COMPOSIÇÃO REPRESENTATIVA) DO SERVIÇO DE ALVENARIA DE VEDAÇÃO DE BLOCOS VAZADOS DE CERÂMICA DE 9X19X19CM (ESPESSURA 9CM), PARA EDIFICAÇÃO HABITACIONAL UNIFAMILIAR (CASA) E EDIFICAÇÃO PÚBLICA PADRÃO. AF_11/2014</v>
      </c>
      <c r="C347" s="274"/>
      <c r="D347" s="274"/>
      <c r="E347" s="274"/>
      <c r="F347" s="274"/>
      <c r="G347" s="274"/>
      <c r="H347" s="274"/>
      <c r="I347" s="274"/>
      <c r="J347" s="274"/>
      <c r="K347" s="20"/>
      <c r="L347" s="18" t="s">
        <v>1412</v>
      </c>
    </row>
    <row r="348" spans="1:12" x14ac:dyDescent="0.25">
      <c r="A348" s="275"/>
      <c r="B348" s="275"/>
      <c r="C348" s="21"/>
      <c r="D348" s="21"/>
      <c r="E348" s="21"/>
      <c r="F348" s="21"/>
      <c r="G348" s="275" t="s">
        <v>23</v>
      </c>
      <c r="H348" s="275"/>
      <c r="I348" s="275" t="s">
        <v>24</v>
      </c>
      <c r="J348" s="275"/>
      <c r="K348" s="275"/>
    </row>
    <row r="349" spans="1:12" x14ac:dyDescent="0.25">
      <c r="A349" s="275" t="s">
        <v>25</v>
      </c>
      <c r="B349" s="275"/>
      <c r="C349" s="275" t="s">
        <v>26</v>
      </c>
      <c r="D349" s="275" t="s">
        <v>27</v>
      </c>
      <c r="E349" s="275" t="s">
        <v>28</v>
      </c>
      <c r="F349" s="275" t="s">
        <v>29</v>
      </c>
      <c r="G349" s="17" t="s">
        <v>30</v>
      </c>
      <c r="H349" s="17" t="s">
        <v>31</v>
      </c>
      <c r="I349" s="17" t="s">
        <v>32</v>
      </c>
      <c r="J349" s="17" t="s">
        <v>30</v>
      </c>
      <c r="K349" s="17" t="s">
        <v>31</v>
      </c>
    </row>
    <row r="350" spans="1:12" x14ac:dyDescent="0.25">
      <c r="A350" s="275"/>
      <c r="B350" s="275"/>
      <c r="C350" s="275"/>
      <c r="D350" s="275"/>
      <c r="E350" s="275"/>
      <c r="F350" s="275"/>
      <c r="G350" s="17" t="s">
        <v>33</v>
      </c>
      <c r="H350" s="17" t="s">
        <v>34</v>
      </c>
      <c r="I350" s="17" t="s">
        <v>35</v>
      </c>
      <c r="J350" s="17" t="s">
        <v>33</v>
      </c>
      <c r="K350" s="17" t="s">
        <v>34</v>
      </c>
    </row>
    <row r="351" spans="1:12" ht="22.5" x14ac:dyDescent="0.25">
      <c r="A351" s="17" t="s">
        <v>141</v>
      </c>
      <c r="B351" s="22" t="s">
        <v>142</v>
      </c>
      <c r="C351" s="23">
        <v>1</v>
      </c>
      <c r="D351" s="23">
        <v>231.18</v>
      </c>
      <c r="E351" s="24"/>
      <c r="F351" s="23">
        <v>3.88</v>
      </c>
      <c r="G351" s="79">
        <v>896.97839999999997</v>
      </c>
      <c r="H351" s="26"/>
      <c r="I351" s="26"/>
      <c r="J351" s="26">
        <v>896.97839999999997</v>
      </c>
      <c r="K351" s="26"/>
    </row>
    <row r="352" spans="1:12" x14ac:dyDescent="0.25">
      <c r="A352" s="17" t="s">
        <v>141</v>
      </c>
      <c r="B352" s="22" t="s">
        <v>102</v>
      </c>
      <c r="C352" s="23">
        <v>-1</v>
      </c>
      <c r="D352" s="23"/>
      <c r="E352" s="24"/>
      <c r="F352" s="23"/>
      <c r="G352" s="79">
        <v>208.03399999999996</v>
      </c>
      <c r="H352" s="26"/>
      <c r="I352" s="26"/>
      <c r="J352" s="26">
        <v>-208.03399999999996</v>
      </c>
      <c r="K352" s="26"/>
    </row>
    <row r="353" spans="1:12" ht="22.5" x14ac:dyDescent="0.25">
      <c r="A353" s="44" t="s">
        <v>141</v>
      </c>
      <c r="B353" s="22" t="s">
        <v>143</v>
      </c>
      <c r="C353" s="23">
        <v>-1</v>
      </c>
      <c r="D353" s="23">
        <v>76.42</v>
      </c>
      <c r="E353" s="24"/>
      <c r="F353" s="23">
        <v>0.65</v>
      </c>
      <c r="G353" s="79">
        <v>49.673000000000002</v>
      </c>
      <c r="H353" s="26"/>
      <c r="I353" s="26"/>
      <c r="J353" s="26">
        <v>-49.673000000000002</v>
      </c>
      <c r="K353" s="26"/>
    </row>
    <row r="354" spans="1:12" ht="22.5" x14ac:dyDescent="0.25">
      <c r="A354" s="44" t="s">
        <v>144</v>
      </c>
      <c r="B354" s="22" t="s">
        <v>142</v>
      </c>
      <c r="C354" s="23">
        <v>1</v>
      </c>
      <c r="D354" s="23">
        <v>205.03</v>
      </c>
      <c r="E354" s="24"/>
      <c r="F354" s="23">
        <v>3.82</v>
      </c>
      <c r="G354" s="79">
        <v>783.21460000000002</v>
      </c>
      <c r="H354" s="26"/>
      <c r="I354" s="26"/>
      <c r="J354" s="26">
        <v>783.21460000000002</v>
      </c>
      <c r="K354" s="26"/>
    </row>
    <row r="355" spans="1:12" x14ac:dyDescent="0.25">
      <c r="A355" s="17" t="s">
        <v>144</v>
      </c>
      <c r="B355" s="22" t="s">
        <v>102</v>
      </c>
      <c r="C355" s="23">
        <v>-1</v>
      </c>
      <c r="D355" s="23"/>
      <c r="E355" s="24"/>
      <c r="F355" s="23"/>
      <c r="G355" s="79">
        <v>115.06200000000003</v>
      </c>
      <c r="H355" s="26"/>
      <c r="I355" s="26"/>
      <c r="J355" s="26">
        <v>-115.06200000000003</v>
      </c>
      <c r="K355" s="26"/>
    </row>
    <row r="356" spans="1:12" ht="22.5" x14ac:dyDescent="0.25">
      <c r="A356" s="17" t="s">
        <v>144</v>
      </c>
      <c r="B356" s="22" t="s">
        <v>143</v>
      </c>
      <c r="C356" s="23">
        <v>-1</v>
      </c>
      <c r="D356" s="23">
        <v>40.22</v>
      </c>
      <c r="E356" s="24"/>
      <c r="F356" s="23">
        <v>0.5</v>
      </c>
      <c r="G356" s="79">
        <v>20.11</v>
      </c>
      <c r="H356" s="26"/>
      <c r="I356" s="26"/>
      <c r="J356" s="26">
        <v>-20.11</v>
      </c>
      <c r="K356" s="26"/>
    </row>
    <row r="357" spans="1:12" x14ac:dyDescent="0.25">
      <c r="A357" s="27"/>
      <c r="B357" s="28"/>
      <c r="C357" s="28"/>
      <c r="D357" s="28"/>
      <c r="E357" s="28"/>
      <c r="F357" s="272" t="s">
        <v>36</v>
      </c>
      <c r="G357" s="272"/>
      <c r="H357" s="272"/>
      <c r="I357" s="29"/>
      <c r="J357" s="29">
        <v>1287.31</v>
      </c>
      <c r="K357" s="29">
        <v>0</v>
      </c>
    </row>
    <row r="358" spans="1:12" x14ac:dyDescent="0.25">
      <c r="A358" s="17"/>
      <c r="B358" s="273"/>
      <c r="C358" s="273"/>
      <c r="D358" s="273"/>
      <c r="E358" s="273"/>
      <c r="F358" s="273"/>
      <c r="G358" s="273"/>
      <c r="H358" s="273"/>
      <c r="I358" s="273"/>
      <c r="J358" s="273"/>
      <c r="K358" s="17"/>
    </row>
    <row r="359" spans="1:12" ht="36" customHeight="1" x14ac:dyDescent="0.25">
      <c r="A359" s="19" t="str">
        <f>'Lista de Serviços'!A122</f>
        <v>04.01.111</v>
      </c>
      <c r="B359" s="274" t="str">
        <f>'Lista de Serviços'!B124</f>
        <v>(COMPOSIÇÃO REPRESENTATIVA) DO SERVIÇO DE ALVENARIA DE VEDAÇÃO DE BLOCOS VAZADOS DE CERÂMICA DE 14X9X19CM (ESPESSURA 14CM, BLOCO DEITADO), PARA EDIFICAÇÃO HABITACIONAL UNIFAMILIAR (CASA) E EDIFICAÇÃO PÚBLICA PADRÃO. AF_12/2014</v>
      </c>
      <c r="C359" s="274"/>
      <c r="D359" s="274"/>
      <c r="E359" s="274"/>
      <c r="F359" s="274"/>
      <c r="G359" s="274"/>
      <c r="H359" s="274"/>
      <c r="I359" s="274"/>
      <c r="J359" s="274"/>
      <c r="K359" s="20"/>
      <c r="L359" s="18" t="s">
        <v>1412</v>
      </c>
    </row>
    <row r="360" spans="1:12" x14ac:dyDescent="0.25">
      <c r="A360" s="275"/>
      <c r="B360" s="275"/>
      <c r="C360" s="21"/>
      <c r="D360" s="21"/>
      <c r="E360" s="21"/>
      <c r="F360" s="21"/>
      <c r="G360" s="275" t="s">
        <v>23</v>
      </c>
      <c r="H360" s="275"/>
      <c r="I360" s="275" t="s">
        <v>24</v>
      </c>
      <c r="J360" s="275"/>
      <c r="K360" s="275"/>
    </row>
    <row r="361" spans="1:12" x14ac:dyDescent="0.25">
      <c r="A361" s="275" t="s">
        <v>25</v>
      </c>
      <c r="B361" s="275"/>
      <c r="C361" s="275" t="s">
        <v>26</v>
      </c>
      <c r="D361" s="275" t="s">
        <v>27</v>
      </c>
      <c r="E361" s="275" t="s">
        <v>28</v>
      </c>
      <c r="F361" s="275" t="s">
        <v>29</v>
      </c>
      <c r="G361" s="17" t="s">
        <v>30</v>
      </c>
      <c r="H361" s="17" t="s">
        <v>31</v>
      </c>
      <c r="I361" s="17" t="s">
        <v>32</v>
      </c>
      <c r="J361" s="17" t="s">
        <v>30</v>
      </c>
      <c r="K361" s="17" t="s">
        <v>31</v>
      </c>
    </row>
    <row r="362" spans="1:12" x14ac:dyDescent="0.25">
      <c r="A362" s="275"/>
      <c r="B362" s="275"/>
      <c r="C362" s="275"/>
      <c r="D362" s="275"/>
      <c r="E362" s="275"/>
      <c r="F362" s="275"/>
      <c r="G362" s="17" t="s">
        <v>33</v>
      </c>
      <c r="H362" s="17" t="s">
        <v>34</v>
      </c>
      <c r="I362" s="17" t="s">
        <v>35</v>
      </c>
      <c r="J362" s="17" t="s">
        <v>33</v>
      </c>
      <c r="K362" s="17" t="s">
        <v>34</v>
      </c>
    </row>
    <row r="363" spans="1:12" ht="22.5" x14ac:dyDescent="0.25">
      <c r="A363" s="44" t="s">
        <v>141</v>
      </c>
      <c r="B363" s="22" t="s">
        <v>142</v>
      </c>
      <c r="C363" s="23">
        <v>1</v>
      </c>
      <c r="D363" s="23">
        <v>51.88</v>
      </c>
      <c r="E363" s="24"/>
      <c r="F363" s="23">
        <v>3.88</v>
      </c>
      <c r="G363" s="79">
        <v>201.2944</v>
      </c>
      <c r="H363" s="26"/>
      <c r="I363" s="26"/>
      <c r="J363" s="26">
        <v>201.2944</v>
      </c>
      <c r="K363" s="26"/>
    </row>
    <row r="364" spans="1:12" x14ac:dyDescent="0.25">
      <c r="A364" s="44" t="s">
        <v>141</v>
      </c>
      <c r="B364" s="22" t="s">
        <v>102</v>
      </c>
      <c r="C364" s="23">
        <v>-1</v>
      </c>
      <c r="D364" s="23"/>
      <c r="E364" s="24"/>
      <c r="F364" s="23"/>
      <c r="G364" s="79">
        <v>1.6800000000000002</v>
      </c>
      <c r="H364" s="26"/>
      <c r="I364" s="26"/>
      <c r="J364" s="26">
        <v>-1.6800000000000002</v>
      </c>
      <c r="K364" s="26"/>
    </row>
    <row r="365" spans="1:12" ht="22.5" x14ac:dyDescent="0.25">
      <c r="A365" s="44" t="s">
        <v>141</v>
      </c>
      <c r="B365" s="22" t="s">
        <v>143</v>
      </c>
      <c r="C365" s="23">
        <v>-1</v>
      </c>
      <c r="D365" s="23">
        <v>16.649999999999999</v>
      </c>
      <c r="E365" s="24"/>
      <c r="F365" s="23">
        <v>0.65</v>
      </c>
      <c r="G365" s="79">
        <v>10.8225</v>
      </c>
      <c r="H365" s="26"/>
      <c r="I365" s="26"/>
      <c r="J365" s="26">
        <v>-10.8225</v>
      </c>
      <c r="K365" s="26"/>
    </row>
    <row r="366" spans="1:12" ht="22.5" x14ac:dyDescent="0.25">
      <c r="A366" s="44" t="s">
        <v>144</v>
      </c>
      <c r="B366" s="22" t="s">
        <v>142</v>
      </c>
      <c r="C366" s="23">
        <v>1</v>
      </c>
      <c r="D366" s="23">
        <v>50.45</v>
      </c>
      <c r="E366" s="24"/>
      <c r="F366" s="23">
        <v>3.82</v>
      </c>
      <c r="G366" s="79">
        <v>192.71899999999999</v>
      </c>
      <c r="H366" s="26"/>
      <c r="I366" s="26"/>
      <c r="J366" s="26">
        <v>192.71899999999999</v>
      </c>
      <c r="K366" s="26"/>
    </row>
    <row r="367" spans="1:12" x14ac:dyDescent="0.25">
      <c r="A367" s="44" t="s">
        <v>144</v>
      </c>
      <c r="B367" s="22" t="s">
        <v>102</v>
      </c>
      <c r="C367" s="23">
        <v>-1</v>
      </c>
      <c r="D367" s="23"/>
      <c r="E367" s="24"/>
      <c r="F367" s="23"/>
      <c r="G367" s="79">
        <v>11.520000000000001</v>
      </c>
      <c r="H367" s="26"/>
      <c r="I367" s="26"/>
      <c r="J367" s="26">
        <v>-11.520000000000001</v>
      </c>
      <c r="K367" s="26"/>
    </row>
    <row r="368" spans="1:12" ht="22.5" x14ac:dyDescent="0.25">
      <c r="A368" s="44" t="s">
        <v>144</v>
      </c>
      <c r="B368" s="22" t="s">
        <v>143</v>
      </c>
      <c r="C368" s="23">
        <v>-1</v>
      </c>
      <c r="D368" s="23">
        <v>45.3</v>
      </c>
      <c r="E368" s="24"/>
      <c r="F368" s="23">
        <v>0.5</v>
      </c>
      <c r="G368" s="79">
        <v>22.65</v>
      </c>
      <c r="H368" s="26"/>
      <c r="I368" s="26"/>
      <c r="J368" s="26">
        <v>-22.65</v>
      </c>
      <c r="K368" s="26"/>
    </row>
    <row r="369" spans="1:12" x14ac:dyDescent="0.25">
      <c r="A369" s="27"/>
      <c r="B369" s="28"/>
      <c r="C369" s="28"/>
      <c r="D369" s="28"/>
      <c r="E369" s="28"/>
      <c r="F369" s="272" t="s">
        <v>36</v>
      </c>
      <c r="G369" s="272"/>
      <c r="H369" s="272"/>
      <c r="I369" s="29"/>
      <c r="J369" s="29">
        <v>347.34</v>
      </c>
      <c r="K369" s="29"/>
    </row>
    <row r="370" spans="1:12" x14ac:dyDescent="0.25">
      <c r="A370" s="17"/>
      <c r="B370" s="273"/>
      <c r="C370" s="273"/>
      <c r="D370" s="273"/>
      <c r="E370" s="273"/>
      <c r="F370" s="273"/>
      <c r="G370" s="273"/>
      <c r="H370" s="273"/>
      <c r="I370" s="273"/>
      <c r="J370" s="273"/>
      <c r="K370" s="17"/>
    </row>
    <row r="371" spans="1:12" x14ac:dyDescent="0.25">
      <c r="A371" s="19" t="str">
        <f>'Lista de Serviços'!A125</f>
        <v>04.01.113</v>
      </c>
      <c r="B371" s="274" t="str">
        <f>'Lista de Serviços'!B126</f>
        <v>COBOGÓ DE CONCRETO (ELEMENTO VAZADO), 6X41X41CM, ASSENTADO COM ARGAMASSA TRAÇO 1:5</v>
      </c>
      <c r="C371" s="274"/>
      <c r="D371" s="274"/>
      <c r="E371" s="274"/>
      <c r="F371" s="274"/>
      <c r="G371" s="274"/>
      <c r="H371" s="274"/>
      <c r="I371" s="274"/>
      <c r="J371" s="274"/>
      <c r="K371" s="20"/>
      <c r="L371" s="18" t="s">
        <v>1412</v>
      </c>
    </row>
    <row r="372" spans="1:12" x14ac:dyDescent="0.25">
      <c r="A372" s="275"/>
      <c r="B372" s="275"/>
      <c r="C372" s="21"/>
      <c r="D372" s="21"/>
      <c r="E372" s="21"/>
      <c r="F372" s="21"/>
      <c r="G372" s="275" t="s">
        <v>23</v>
      </c>
      <c r="H372" s="275"/>
      <c r="I372" s="275" t="s">
        <v>24</v>
      </c>
      <c r="J372" s="275"/>
      <c r="K372" s="275"/>
    </row>
    <row r="373" spans="1:12" x14ac:dyDescent="0.25">
      <c r="A373" s="275" t="s">
        <v>25</v>
      </c>
      <c r="B373" s="275"/>
      <c r="C373" s="275" t="s">
        <v>26</v>
      </c>
      <c r="D373" s="275" t="s">
        <v>27</v>
      </c>
      <c r="E373" s="275" t="s">
        <v>28</v>
      </c>
      <c r="F373" s="275" t="s">
        <v>29</v>
      </c>
      <c r="G373" s="81" t="s">
        <v>30</v>
      </c>
      <c r="H373" s="81" t="s">
        <v>31</v>
      </c>
      <c r="I373" s="81" t="s">
        <v>32</v>
      </c>
      <c r="J373" s="81" t="s">
        <v>30</v>
      </c>
      <c r="K373" s="81" t="s">
        <v>31</v>
      </c>
    </row>
    <row r="374" spans="1:12" x14ac:dyDescent="0.25">
      <c r="A374" s="275"/>
      <c r="B374" s="275"/>
      <c r="C374" s="275"/>
      <c r="D374" s="275"/>
      <c r="E374" s="275"/>
      <c r="F374" s="275"/>
      <c r="G374" s="81" t="s">
        <v>33</v>
      </c>
      <c r="H374" s="81" t="s">
        <v>34</v>
      </c>
      <c r="I374" s="81" t="s">
        <v>35</v>
      </c>
      <c r="J374" s="81" t="s">
        <v>33</v>
      </c>
      <c r="K374" s="81" t="s">
        <v>34</v>
      </c>
    </row>
    <row r="375" spans="1:12" x14ac:dyDescent="0.25">
      <c r="A375" s="81"/>
      <c r="B375" s="22" t="s">
        <v>178</v>
      </c>
      <c r="C375" s="23">
        <v>2</v>
      </c>
      <c r="D375" s="23"/>
      <c r="E375" s="24"/>
      <c r="F375" s="23"/>
      <c r="G375" s="23">
        <v>22.72</v>
      </c>
      <c r="H375" s="26"/>
      <c r="I375" s="26"/>
      <c r="J375" s="26">
        <v>45.44</v>
      </c>
      <c r="K375" s="26"/>
    </row>
    <row r="376" spans="1:12" x14ac:dyDescent="0.25">
      <c r="A376" s="81"/>
      <c r="B376" s="22" t="s">
        <v>179</v>
      </c>
      <c r="C376" s="23">
        <v>1</v>
      </c>
      <c r="D376" s="23"/>
      <c r="E376" s="24"/>
      <c r="F376" s="23"/>
      <c r="G376" s="79">
        <v>30.14</v>
      </c>
      <c r="H376" s="26"/>
      <c r="I376" s="26"/>
      <c r="J376" s="26">
        <v>30.14</v>
      </c>
      <c r="K376" s="26"/>
    </row>
    <row r="377" spans="1:12" x14ac:dyDescent="0.25">
      <c r="A377" s="81"/>
      <c r="B377" s="22" t="s">
        <v>180</v>
      </c>
      <c r="C377" s="23">
        <v>1</v>
      </c>
      <c r="D377" s="23"/>
      <c r="E377" s="24"/>
      <c r="F377" s="23"/>
      <c r="G377" s="79">
        <v>21.94</v>
      </c>
      <c r="H377" s="26"/>
      <c r="I377" s="26"/>
      <c r="J377" s="26">
        <v>21.94</v>
      </c>
      <c r="K377" s="26"/>
    </row>
    <row r="378" spans="1:12" x14ac:dyDescent="0.25">
      <c r="A378" s="27"/>
      <c r="B378" s="28"/>
      <c r="C378" s="28"/>
      <c r="D378" s="28"/>
      <c r="E378" s="28"/>
      <c r="F378" s="272" t="s">
        <v>36</v>
      </c>
      <c r="G378" s="272"/>
      <c r="H378" s="272"/>
      <c r="I378" s="29"/>
      <c r="J378" s="29">
        <v>97.52</v>
      </c>
      <c r="K378" s="29"/>
    </row>
    <row r="379" spans="1:12" x14ac:dyDescent="0.25">
      <c r="A379" s="81"/>
      <c r="B379" s="273"/>
      <c r="C379" s="273"/>
      <c r="D379" s="273"/>
      <c r="E379" s="273"/>
      <c r="F379" s="273"/>
      <c r="G379" s="273"/>
      <c r="H379" s="273"/>
      <c r="I379" s="273"/>
      <c r="J379" s="273"/>
      <c r="K379" s="81"/>
    </row>
    <row r="380" spans="1:12" ht="29.25" customHeight="1" x14ac:dyDescent="0.25">
      <c r="A380" s="19" t="str">
        <f>'Lista de Serviços'!A127</f>
        <v>04.01.120</v>
      </c>
      <c r="B380" s="274" t="str">
        <f>'Lista de Serviços'!B128</f>
        <v>DIVISORIA EM GRANITO BRANCO POLIDO, ESP = 3CM, ASSENTADO COM ARGAMASSA TRACO 1:4, ARREMATE EM CIMENTO BRANCO, EXCLUSIVE FERRAGENS</v>
      </c>
      <c r="C380" s="274"/>
      <c r="D380" s="274"/>
      <c r="E380" s="274"/>
      <c r="F380" s="274"/>
      <c r="G380" s="274"/>
      <c r="H380" s="274"/>
      <c r="I380" s="274"/>
      <c r="J380" s="274"/>
      <c r="K380" s="20"/>
      <c r="L380" s="18" t="s">
        <v>1412</v>
      </c>
    </row>
    <row r="381" spans="1:12" x14ac:dyDescent="0.25">
      <c r="A381" s="275"/>
      <c r="B381" s="275"/>
      <c r="C381" s="21"/>
      <c r="D381" s="21"/>
      <c r="E381" s="21"/>
      <c r="F381" s="21"/>
      <c r="G381" s="275" t="s">
        <v>23</v>
      </c>
      <c r="H381" s="275"/>
      <c r="I381" s="275" t="s">
        <v>24</v>
      </c>
      <c r="J381" s="275"/>
      <c r="K381" s="275"/>
    </row>
    <row r="382" spans="1:12" x14ac:dyDescent="0.25">
      <c r="A382" s="275" t="s">
        <v>25</v>
      </c>
      <c r="B382" s="275"/>
      <c r="C382" s="275" t="s">
        <v>26</v>
      </c>
      <c r="D382" s="275" t="s">
        <v>27</v>
      </c>
      <c r="E382" s="275" t="s">
        <v>28</v>
      </c>
      <c r="F382" s="275" t="s">
        <v>29</v>
      </c>
      <c r="G382" s="81" t="s">
        <v>30</v>
      </c>
      <c r="H382" s="81" t="s">
        <v>31</v>
      </c>
      <c r="I382" s="81" t="s">
        <v>32</v>
      </c>
      <c r="J382" s="81" t="s">
        <v>30</v>
      </c>
      <c r="K382" s="81" t="s">
        <v>31</v>
      </c>
    </row>
    <row r="383" spans="1:12" x14ac:dyDescent="0.25">
      <c r="A383" s="275"/>
      <c r="B383" s="275"/>
      <c r="C383" s="275"/>
      <c r="D383" s="275"/>
      <c r="E383" s="275"/>
      <c r="F383" s="275"/>
      <c r="G383" s="81" t="s">
        <v>33</v>
      </c>
      <c r="H383" s="81" t="s">
        <v>34</v>
      </c>
      <c r="I383" s="81" t="s">
        <v>35</v>
      </c>
      <c r="J383" s="81" t="s">
        <v>33</v>
      </c>
      <c r="K383" s="81" t="s">
        <v>34</v>
      </c>
    </row>
    <row r="384" spans="1:12" x14ac:dyDescent="0.25">
      <c r="A384" s="81" t="s">
        <v>141</v>
      </c>
      <c r="B384" s="22" t="s">
        <v>181</v>
      </c>
      <c r="C384" s="23">
        <v>2</v>
      </c>
      <c r="D384" s="23">
        <v>1.02</v>
      </c>
      <c r="E384" s="24"/>
      <c r="F384" s="23">
        <v>1.92</v>
      </c>
      <c r="G384" s="23">
        <v>1.9583999999999999</v>
      </c>
      <c r="H384" s="26"/>
      <c r="I384" s="26"/>
      <c r="J384" s="26">
        <v>3.9167999999999998</v>
      </c>
      <c r="K384" s="26"/>
    </row>
    <row r="385" spans="1:12" x14ac:dyDescent="0.25">
      <c r="A385" s="81" t="s">
        <v>141</v>
      </c>
      <c r="B385" s="22" t="s">
        <v>182</v>
      </c>
      <c r="C385" s="23">
        <v>1</v>
      </c>
      <c r="D385" s="23">
        <v>7.0000000000000007E-2</v>
      </c>
      <c r="E385" s="24"/>
      <c r="F385" s="23">
        <v>1.92</v>
      </c>
      <c r="G385" s="23">
        <v>0.13440000000000002</v>
      </c>
      <c r="H385" s="26"/>
      <c r="I385" s="26"/>
      <c r="J385" s="26">
        <v>0.13440000000000002</v>
      </c>
      <c r="K385" s="26"/>
    </row>
    <row r="386" spans="1:12" x14ac:dyDescent="0.25">
      <c r="A386" s="81" t="s">
        <v>141</v>
      </c>
      <c r="B386" s="22" t="s">
        <v>183</v>
      </c>
      <c r="C386" s="23">
        <v>4</v>
      </c>
      <c r="D386" s="23">
        <v>0.34</v>
      </c>
      <c r="E386" s="24"/>
      <c r="F386" s="23">
        <v>1.92</v>
      </c>
      <c r="G386" s="23">
        <v>0.65280000000000005</v>
      </c>
      <c r="H386" s="26"/>
      <c r="I386" s="26"/>
      <c r="J386" s="26">
        <v>2.6112000000000002</v>
      </c>
      <c r="K386" s="26"/>
    </row>
    <row r="387" spans="1:12" x14ac:dyDescent="0.25">
      <c r="A387" s="81" t="s">
        <v>141</v>
      </c>
      <c r="B387" s="22" t="s">
        <v>184</v>
      </c>
      <c r="C387" s="23">
        <v>2</v>
      </c>
      <c r="D387" s="23">
        <v>0.09</v>
      </c>
      <c r="E387" s="24"/>
      <c r="F387" s="23">
        <v>1.92</v>
      </c>
      <c r="G387" s="23">
        <v>0.17279999999999998</v>
      </c>
      <c r="H387" s="26"/>
      <c r="I387" s="26"/>
      <c r="J387" s="26">
        <v>0.34559999999999996</v>
      </c>
      <c r="K387" s="26"/>
    </row>
    <row r="388" spans="1:12" x14ac:dyDescent="0.25">
      <c r="A388" s="81" t="s">
        <v>144</v>
      </c>
      <c r="B388" s="22" t="s">
        <v>181</v>
      </c>
      <c r="C388" s="23">
        <v>2</v>
      </c>
      <c r="D388" s="23">
        <v>1.02</v>
      </c>
      <c r="E388" s="24"/>
      <c r="F388" s="23">
        <v>1.92</v>
      </c>
      <c r="G388" s="23">
        <v>1.9583999999999999</v>
      </c>
      <c r="H388" s="26"/>
      <c r="I388" s="26"/>
      <c r="J388" s="26">
        <v>3.9167999999999998</v>
      </c>
      <c r="K388" s="26"/>
    </row>
    <row r="389" spans="1:12" x14ac:dyDescent="0.25">
      <c r="A389" s="81" t="s">
        <v>144</v>
      </c>
      <c r="B389" s="22" t="s">
        <v>182</v>
      </c>
      <c r="C389" s="23">
        <v>1</v>
      </c>
      <c r="D389" s="23">
        <v>7.0000000000000007E-2</v>
      </c>
      <c r="E389" s="24"/>
      <c r="F389" s="23">
        <v>1.92</v>
      </c>
      <c r="G389" s="23">
        <v>0.13440000000000002</v>
      </c>
      <c r="H389" s="26"/>
      <c r="I389" s="26"/>
      <c r="J389" s="26">
        <v>0.13440000000000002</v>
      </c>
      <c r="K389" s="26"/>
    </row>
    <row r="390" spans="1:12" x14ac:dyDescent="0.25">
      <c r="A390" s="81" t="s">
        <v>144</v>
      </c>
      <c r="B390" s="22" t="s">
        <v>183</v>
      </c>
      <c r="C390" s="23">
        <v>4</v>
      </c>
      <c r="D390" s="23">
        <v>0.34</v>
      </c>
      <c r="E390" s="24"/>
      <c r="F390" s="23">
        <v>1.92</v>
      </c>
      <c r="G390" s="23">
        <v>0.65280000000000005</v>
      </c>
      <c r="H390" s="26"/>
      <c r="I390" s="26"/>
      <c r="J390" s="26">
        <v>2.6112000000000002</v>
      </c>
      <c r="K390" s="26"/>
    </row>
    <row r="391" spans="1:12" x14ac:dyDescent="0.25">
      <c r="A391" s="81" t="s">
        <v>144</v>
      </c>
      <c r="B391" s="22" t="s">
        <v>185</v>
      </c>
      <c r="C391" s="23">
        <v>2</v>
      </c>
      <c r="D391" s="23">
        <v>7.0000000000000007E-2</v>
      </c>
      <c r="E391" s="24"/>
      <c r="F391" s="23">
        <v>1.92</v>
      </c>
      <c r="G391" s="23">
        <v>0.13440000000000002</v>
      </c>
      <c r="H391" s="26"/>
      <c r="I391" s="26"/>
      <c r="J391" s="26">
        <v>0.26880000000000004</v>
      </c>
      <c r="K391" s="26"/>
    </row>
    <row r="392" spans="1:12" x14ac:dyDescent="0.25">
      <c r="A392" s="27"/>
      <c r="B392" s="28"/>
      <c r="C392" s="28"/>
      <c r="D392" s="28"/>
      <c r="E392" s="28"/>
      <c r="F392" s="272" t="s">
        <v>36</v>
      </c>
      <c r="G392" s="272"/>
      <c r="H392" s="272"/>
      <c r="I392" s="29"/>
      <c r="J392" s="29">
        <v>13.94</v>
      </c>
      <c r="K392" s="29"/>
    </row>
    <row r="393" spans="1:12" x14ac:dyDescent="0.25">
      <c r="A393" s="81"/>
      <c r="B393" s="273"/>
      <c r="C393" s="273"/>
      <c r="D393" s="273"/>
      <c r="E393" s="273"/>
      <c r="F393" s="273"/>
      <c r="G393" s="273"/>
      <c r="H393" s="273"/>
      <c r="I393" s="273"/>
      <c r="J393" s="273"/>
      <c r="K393" s="81"/>
    </row>
    <row r="394" spans="1:12" ht="26.25" customHeight="1" x14ac:dyDescent="0.25">
      <c r="A394" s="19" t="str">
        <f>'Lista de Serviços'!A129</f>
        <v>04.01.121</v>
      </c>
      <c r="B394" s="274" t="str">
        <f>'Lista de Serviços'!B130</f>
        <v>PAREDE COM PLACAS DE GESSO ACARTONADO (DRYWALL), PARA USO INTERNO, COM DUAS FACES SIMPLES E ESTRUTURA METÁLICA COM GUIAS SIMPLES, SEM VÃOS. AF_06/2017_P</v>
      </c>
      <c r="C394" s="274"/>
      <c r="D394" s="274"/>
      <c r="E394" s="274"/>
      <c r="F394" s="274"/>
      <c r="G394" s="274"/>
      <c r="H394" s="274"/>
      <c r="I394" s="274"/>
      <c r="J394" s="274"/>
      <c r="K394" s="20"/>
      <c r="L394" s="18" t="s">
        <v>1412</v>
      </c>
    </row>
    <row r="395" spans="1:12" x14ac:dyDescent="0.25">
      <c r="A395" s="275"/>
      <c r="B395" s="275"/>
      <c r="C395" s="21"/>
      <c r="D395" s="21"/>
      <c r="E395" s="21"/>
      <c r="F395" s="21"/>
      <c r="G395" s="275" t="s">
        <v>23</v>
      </c>
      <c r="H395" s="275"/>
      <c r="I395" s="275" t="s">
        <v>24</v>
      </c>
      <c r="J395" s="275"/>
      <c r="K395" s="275"/>
    </row>
    <row r="396" spans="1:12" x14ac:dyDescent="0.25">
      <c r="A396" s="275" t="s">
        <v>25</v>
      </c>
      <c r="B396" s="275"/>
      <c r="C396" s="275" t="s">
        <v>26</v>
      </c>
      <c r="D396" s="275" t="s">
        <v>27</v>
      </c>
      <c r="E396" s="275" t="s">
        <v>28</v>
      </c>
      <c r="F396" s="275" t="s">
        <v>29</v>
      </c>
      <c r="G396" s="17" t="s">
        <v>30</v>
      </c>
      <c r="H396" s="17" t="s">
        <v>31</v>
      </c>
      <c r="I396" s="17" t="s">
        <v>32</v>
      </c>
      <c r="J396" s="17" t="s">
        <v>30</v>
      </c>
      <c r="K396" s="17" t="s">
        <v>31</v>
      </c>
    </row>
    <row r="397" spans="1:12" x14ac:dyDescent="0.25">
      <c r="A397" s="275"/>
      <c r="B397" s="275"/>
      <c r="C397" s="275"/>
      <c r="D397" s="275"/>
      <c r="E397" s="275"/>
      <c r="F397" s="275"/>
      <c r="G397" s="17" t="s">
        <v>33</v>
      </c>
      <c r="H397" s="17" t="s">
        <v>34</v>
      </c>
      <c r="I397" s="17" t="s">
        <v>35</v>
      </c>
      <c r="J397" s="17" t="s">
        <v>33</v>
      </c>
      <c r="K397" s="17" t="s">
        <v>34</v>
      </c>
    </row>
    <row r="398" spans="1:12" ht="22.5" x14ac:dyDescent="0.25">
      <c r="A398" s="44" t="s">
        <v>141</v>
      </c>
      <c r="B398" s="22" t="s">
        <v>142</v>
      </c>
      <c r="C398" s="23">
        <v>1</v>
      </c>
      <c r="D398" s="23">
        <v>14.64</v>
      </c>
      <c r="E398" s="24"/>
      <c r="F398" s="23">
        <v>3.88</v>
      </c>
      <c r="G398" s="79">
        <v>56.803200000000004</v>
      </c>
      <c r="H398" s="26"/>
      <c r="I398" s="26"/>
      <c r="J398" s="26">
        <v>56.803200000000004</v>
      </c>
      <c r="K398" s="26"/>
    </row>
    <row r="399" spans="1:12" ht="22.5" x14ac:dyDescent="0.25">
      <c r="A399" s="80" t="s">
        <v>144</v>
      </c>
      <c r="B399" s="22" t="s">
        <v>143</v>
      </c>
      <c r="C399" s="23">
        <v>-1</v>
      </c>
      <c r="D399" s="23">
        <v>6.1</v>
      </c>
      <c r="E399" s="24"/>
      <c r="F399" s="23">
        <v>0.5</v>
      </c>
      <c r="G399" s="79">
        <v>3.05</v>
      </c>
      <c r="H399" s="26"/>
      <c r="I399" s="26"/>
      <c r="J399" s="26">
        <v>-3.05</v>
      </c>
      <c r="K399" s="26"/>
    </row>
    <row r="400" spans="1:12" ht="22.5" x14ac:dyDescent="0.25">
      <c r="A400" s="44" t="s">
        <v>144</v>
      </c>
      <c r="B400" s="22" t="s">
        <v>142</v>
      </c>
      <c r="C400" s="23">
        <v>1</v>
      </c>
      <c r="D400" s="23">
        <v>44.099999999999994</v>
      </c>
      <c r="E400" s="24"/>
      <c r="F400" s="23">
        <v>3.82</v>
      </c>
      <c r="G400" s="79">
        <v>168.46199999999996</v>
      </c>
      <c r="H400" s="26"/>
      <c r="I400" s="26"/>
      <c r="J400" s="26">
        <v>168.46199999999996</v>
      </c>
      <c r="K400" s="26"/>
    </row>
    <row r="401" spans="1:12" x14ac:dyDescent="0.25">
      <c r="A401" s="27"/>
      <c r="B401" s="28"/>
      <c r="C401" s="28"/>
      <c r="D401" s="28"/>
      <c r="E401" s="28"/>
      <c r="F401" s="272" t="s">
        <v>36</v>
      </c>
      <c r="G401" s="272"/>
      <c r="H401" s="272"/>
      <c r="I401" s="29"/>
      <c r="J401" s="29">
        <v>222.22</v>
      </c>
      <c r="K401" s="29"/>
    </row>
    <row r="402" spans="1:12" x14ac:dyDescent="0.25">
      <c r="A402" s="17"/>
      <c r="B402" s="273"/>
      <c r="C402" s="273"/>
      <c r="D402" s="273"/>
      <c r="E402" s="273"/>
      <c r="F402" s="273"/>
      <c r="G402" s="273"/>
      <c r="H402" s="273"/>
      <c r="I402" s="273"/>
      <c r="J402" s="273"/>
      <c r="K402" s="17"/>
    </row>
    <row r="403" spans="1:12" ht="27.75" customHeight="1" x14ac:dyDescent="0.25">
      <c r="A403" s="19" t="str">
        <f>'Lista de Serviços'!A129</f>
        <v>04.01.121</v>
      </c>
      <c r="B403" s="274" t="str">
        <f>'Lista de Serviços'!B131</f>
        <v>PAREDE COM PLACAS DE GESSO ACARTONADO (DRYWALL), PARA USO INTERNO, COM DUAS FACES SIMPLES E ESTRUTURA METÁLICA COM GUIAS SIMPLES, COM VÃOS AF_06/2017_P</v>
      </c>
      <c r="C403" s="274"/>
      <c r="D403" s="274"/>
      <c r="E403" s="274"/>
      <c r="F403" s="274"/>
      <c r="G403" s="274"/>
      <c r="H403" s="274"/>
      <c r="I403" s="274"/>
      <c r="J403" s="274"/>
      <c r="K403" s="20"/>
      <c r="L403" s="18" t="s">
        <v>1412</v>
      </c>
    </row>
    <row r="404" spans="1:12" x14ac:dyDescent="0.25">
      <c r="A404" s="275"/>
      <c r="B404" s="275"/>
      <c r="C404" s="21"/>
      <c r="D404" s="21"/>
      <c r="E404" s="21"/>
      <c r="F404" s="21"/>
      <c r="G404" s="275" t="s">
        <v>23</v>
      </c>
      <c r="H404" s="275"/>
      <c r="I404" s="275" t="s">
        <v>24</v>
      </c>
      <c r="J404" s="275"/>
      <c r="K404" s="275"/>
    </row>
    <row r="405" spans="1:12" x14ac:dyDescent="0.25">
      <c r="A405" s="275" t="s">
        <v>25</v>
      </c>
      <c r="B405" s="275"/>
      <c r="C405" s="275" t="s">
        <v>26</v>
      </c>
      <c r="D405" s="275" t="s">
        <v>27</v>
      </c>
      <c r="E405" s="275" t="s">
        <v>28</v>
      </c>
      <c r="F405" s="275" t="s">
        <v>29</v>
      </c>
      <c r="G405" s="80" t="s">
        <v>30</v>
      </c>
      <c r="H405" s="80" t="s">
        <v>31</v>
      </c>
      <c r="I405" s="80" t="s">
        <v>32</v>
      </c>
      <c r="J405" s="80" t="s">
        <v>30</v>
      </c>
      <c r="K405" s="80" t="s">
        <v>31</v>
      </c>
    </row>
    <row r="406" spans="1:12" x14ac:dyDescent="0.25">
      <c r="A406" s="275"/>
      <c r="B406" s="275"/>
      <c r="C406" s="275"/>
      <c r="D406" s="275"/>
      <c r="E406" s="275"/>
      <c r="F406" s="275"/>
      <c r="G406" s="80" t="s">
        <v>33</v>
      </c>
      <c r="H406" s="80" t="s">
        <v>34</v>
      </c>
      <c r="I406" s="80" t="s">
        <v>35</v>
      </c>
      <c r="J406" s="80" t="s">
        <v>33</v>
      </c>
      <c r="K406" s="80" t="s">
        <v>34</v>
      </c>
    </row>
    <row r="407" spans="1:12" ht="22.5" x14ac:dyDescent="0.25">
      <c r="A407" s="80" t="s">
        <v>141</v>
      </c>
      <c r="B407" s="22" t="s">
        <v>155</v>
      </c>
      <c r="C407" s="23">
        <v>1</v>
      </c>
      <c r="D407" s="23">
        <v>4.2</v>
      </c>
      <c r="E407" s="24"/>
      <c r="F407" s="23">
        <v>3.88</v>
      </c>
      <c r="G407" s="79">
        <v>16.295999999999999</v>
      </c>
      <c r="H407" s="26"/>
      <c r="I407" s="26"/>
      <c r="J407" s="26">
        <v>16.295999999999999</v>
      </c>
      <c r="K407" s="26"/>
    </row>
    <row r="408" spans="1:12" x14ac:dyDescent="0.25">
      <c r="A408" s="80" t="s">
        <v>141</v>
      </c>
      <c r="B408" s="22" t="s">
        <v>102</v>
      </c>
      <c r="C408" s="23">
        <v>-1</v>
      </c>
      <c r="D408" s="23"/>
      <c r="E408" s="24"/>
      <c r="F408" s="23"/>
      <c r="G408" s="79">
        <v>1.8900000000000001</v>
      </c>
      <c r="H408" s="26"/>
      <c r="I408" s="26"/>
      <c r="J408" s="26">
        <v>-1.8900000000000001</v>
      </c>
      <c r="K408" s="26"/>
    </row>
    <row r="409" spans="1:12" ht="22.5" x14ac:dyDescent="0.25">
      <c r="A409" s="80" t="s">
        <v>144</v>
      </c>
      <c r="B409" s="22" t="s">
        <v>155</v>
      </c>
      <c r="C409" s="23">
        <v>1</v>
      </c>
      <c r="D409" s="23">
        <v>4.2</v>
      </c>
      <c r="E409" s="24"/>
      <c r="F409" s="23">
        <v>3.82</v>
      </c>
      <c r="G409" s="79">
        <v>16.044</v>
      </c>
      <c r="H409" s="26"/>
      <c r="I409" s="26"/>
      <c r="J409" s="26">
        <v>16.044</v>
      </c>
      <c r="K409" s="26"/>
    </row>
    <row r="410" spans="1:12" x14ac:dyDescent="0.25">
      <c r="A410" s="80" t="s">
        <v>144</v>
      </c>
      <c r="B410" s="22" t="s">
        <v>102</v>
      </c>
      <c r="C410" s="23">
        <v>-1</v>
      </c>
      <c r="D410" s="23"/>
      <c r="E410" s="24"/>
      <c r="F410" s="23"/>
      <c r="G410" s="79">
        <v>1.8900000000000001</v>
      </c>
      <c r="H410" s="26"/>
      <c r="I410" s="26"/>
      <c r="J410" s="26">
        <v>-1.8900000000000001</v>
      </c>
      <c r="K410" s="26"/>
    </row>
    <row r="411" spans="1:12" x14ac:dyDescent="0.25">
      <c r="A411" s="27"/>
      <c r="B411" s="28"/>
      <c r="C411" s="28"/>
      <c r="D411" s="28"/>
      <c r="E411" s="28"/>
      <c r="F411" s="272" t="s">
        <v>36</v>
      </c>
      <c r="G411" s="272"/>
      <c r="H411" s="272"/>
      <c r="I411" s="29"/>
      <c r="J411" s="29">
        <v>28.56</v>
      </c>
      <c r="K411" s="29"/>
    </row>
    <row r="412" spans="1:12" x14ac:dyDescent="0.25">
      <c r="A412" s="80"/>
      <c r="B412" s="273"/>
      <c r="C412" s="273"/>
      <c r="D412" s="273"/>
      <c r="E412" s="273"/>
      <c r="F412" s="273"/>
      <c r="G412" s="273"/>
      <c r="H412" s="273"/>
      <c r="I412" s="273"/>
      <c r="J412" s="273"/>
      <c r="K412" s="80"/>
    </row>
    <row r="413" spans="1:12" ht="27.75" customHeight="1" x14ac:dyDescent="0.25">
      <c r="A413" s="19" t="str">
        <f>'Lista de Serviços'!A134</f>
        <v>04.01.133</v>
      </c>
      <c r="B413" s="274" t="str">
        <f>'Lista de Serviços'!B135</f>
        <v>CONTRAVERGA MOLDADA IN LOCO COM UTILIZAÇÃO DE BLOCOS CANALETA PARA VÃOS DE MAIS DE 1,5 M DE COMPRIMENTO. AF_03/2016</v>
      </c>
      <c r="C413" s="274"/>
      <c r="D413" s="274"/>
      <c r="E413" s="274"/>
      <c r="F413" s="274"/>
      <c r="G413" s="274"/>
      <c r="H413" s="274"/>
      <c r="I413" s="274"/>
      <c r="J413" s="274"/>
      <c r="K413" s="20"/>
      <c r="L413" s="18" t="s">
        <v>1412</v>
      </c>
    </row>
    <row r="414" spans="1:12" x14ac:dyDescent="0.25">
      <c r="A414" s="275"/>
      <c r="B414" s="275"/>
      <c r="C414" s="21"/>
      <c r="D414" s="21"/>
      <c r="E414" s="21"/>
      <c r="F414" s="21"/>
      <c r="G414" s="275"/>
      <c r="H414" s="275"/>
      <c r="I414" s="275" t="s">
        <v>24</v>
      </c>
      <c r="J414" s="275"/>
      <c r="K414" s="275"/>
    </row>
    <row r="415" spans="1:12" x14ac:dyDescent="0.25">
      <c r="A415" s="275" t="s">
        <v>25</v>
      </c>
      <c r="B415" s="275"/>
      <c r="C415" s="275" t="s">
        <v>26</v>
      </c>
      <c r="D415" s="275" t="s">
        <v>27</v>
      </c>
      <c r="E415" s="275" t="s">
        <v>28</v>
      </c>
      <c r="F415" s="275" t="s">
        <v>29</v>
      </c>
      <c r="G415" s="17"/>
      <c r="H415" s="17"/>
      <c r="I415" s="17" t="s">
        <v>32</v>
      </c>
      <c r="J415" s="17" t="s">
        <v>30</v>
      </c>
      <c r="K415" s="17" t="s">
        <v>31</v>
      </c>
    </row>
    <row r="416" spans="1:12" x14ac:dyDescent="0.25">
      <c r="A416" s="275"/>
      <c r="B416" s="275"/>
      <c r="C416" s="275"/>
      <c r="D416" s="275"/>
      <c r="E416" s="275"/>
      <c r="F416" s="275"/>
      <c r="G416" s="17"/>
      <c r="H416" s="17"/>
      <c r="I416" s="17" t="s">
        <v>35</v>
      </c>
      <c r="J416" s="17" t="s">
        <v>33</v>
      </c>
      <c r="K416" s="17" t="s">
        <v>34</v>
      </c>
    </row>
    <row r="417" spans="1:12" ht="22.5" x14ac:dyDescent="0.25">
      <c r="A417" s="44" t="s">
        <v>141</v>
      </c>
      <c r="B417" s="22" t="s">
        <v>161</v>
      </c>
      <c r="C417" s="23">
        <v>1</v>
      </c>
      <c r="D417" s="23">
        <v>66.95</v>
      </c>
      <c r="E417" s="24"/>
      <c r="F417" s="23"/>
      <c r="G417" s="25"/>
      <c r="H417" s="26"/>
      <c r="I417" s="26">
        <v>66.95</v>
      </c>
      <c r="J417" s="26"/>
      <c r="K417" s="26"/>
    </row>
    <row r="418" spans="1:12" ht="22.5" x14ac:dyDescent="0.25">
      <c r="A418" s="44" t="s">
        <v>144</v>
      </c>
      <c r="B418" s="22" t="s">
        <v>161</v>
      </c>
      <c r="C418" s="23">
        <v>1</v>
      </c>
      <c r="D418" s="23">
        <v>70.8</v>
      </c>
      <c r="E418" s="24"/>
      <c r="F418" s="23"/>
      <c r="G418" s="25"/>
      <c r="H418" s="26"/>
      <c r="I418" s="26">
        <v>70.8</v>
      </c>
      <c r="J418" s="26"/>
      <c r="K418" s="26"/>
    </row>
    <row r="419" spans="1:12" x14ac:dyDescent="0.25">
      <c r="A419" s="27"/>
      <c r="B419" s="28"/>
      <c r="C419" s="28"/>
      <c r="D419" s="28"/>
      <c r="E419" s="28"/>
      <c r="F419" s="272" t="s">
        <v>36</v>
      </c>
      <c r="G419" s="272"/>
      <c r="H419" s="272"/>
      <c r="I419" s="29">
        <v>137.75</v>
      </c>
      <c r="J419" s="29"/>
      <c r="K419" s="29"/>
    </row>
    <row r="420" spans="1:12" x14ac:dyDescent="0.25">
      <c r="A420" s="17"/>
      <c r="B420" s="273"/>
      <c r="C420" s="273"/>
      <c r="D420" s="273"/>
      <c r="E420" s="273"/>
      <c r="F420" s="273"/>
      <c r="G420" s="273"/>
      <c r="H420" s="273"/>
      <c r="I420" s="273"/>
      <c r="J420" s="273"/>
      <c r="K420" s="17"/>
    </row>
    <row r="421" spans="1:12" x14ac:dyDescent="0.25">
      <c r="A421" s="19" t="str">
        <f>'Lista de Serviços'!A134</f>
        <v>04.01.133</v>
      </c>
      <c r="B421" s="274" t="str">
        <f>'Lista de Serviços'!B136</f>
        <v>CINTA DE AMARRAÇÃO DE ALVENARIA MOLDADA IN LOCO COM UTILIZAÇÃO DE BLOCOS CANALETA. AF_03/2016</v>
      </c>
      <c r="C421" s="274"/>
      <c r="D421" s="274"/>
      <c r="E421" s="274"/>
      <c r="F421" s="274"/>
      <c r="G421" s="274"/>
      <c r="H421" s="274"/>
      <c r="I421" s="274"/>
      <c r="J421" s="274"/>
      <c r="K421" s="20"/>
      <c r="L421" s="18" t="s">
        <v>1412</v>
      </c>
    </row>
    <row r="422" spans="1:12" x14ac:dyDescent="0.25">
      <c r="A422" s="275"/>
      <c r="B422" s="275"/>
      <c r="C422" s="21"/>
      <c r="D422" s="21"/>
      <c r="E422" s="21"/>
      <c r="F422" s="21"/>
      <c r="G422" s="275"/>
      <c r="H422" s="275"/>
      <c r="I422" s="275" t="s">
        <v>24</v>
      </c>
      <c r="J422" s="275"/>
      <c r="K422" s="275"/>
    </row>
    <row r="423" spans="1:12" x14ac:dyDescent="0.25">
      <c r="A423" s="275" t="s">
        <v>25</v>
      </c>
      <c r="B423" s="275"/>
      <c r="C423" s="275" t="s">
        <v>26</v>
      </c>
      <c r="D423" s="275" t="s">
        <v>27</v>
      </c>
      <c r="E423" s="275" t="s">
        <v>28</v>
      </c>
      <c r="F423" s="275" t="s">
        <v>29</v>
      </c>
      <c r="G423" s="17"/>
      <c r="H423" s="17"/>
      <c r="I423" s="17" t="s">
        <v>32</v>
      </c>
      <c r="J423" s="17" t="s">
        <v>30</v>
      </c>
      <c r="K423" s="17" t="s">
        <v>31</v>
      </c>
    </row>
    <row r="424" spans="1:12" x14ac:dyDescent="0.25">
      <c r="A424" s="275"/>
      <c r="B424" s="275"/>
      <c r="C424" s="275"/>
      <c r="D424" s="275"/>
      <c r="E424" s="275"/>
      <c r="F424" s="275"/>
      <c r="G424" s="17"/>
      <c r="H424" s="17"/>
      <c r="I424" s="17" t="s">
        <v>35</v>
      </c>
      <c r="J424" s="17" t="s">
        <v>33</v>
      </c>
      <c r="K424" s="17" t="s">
        <v>34</v>
      </c>
    </row>
    <row r="425" spans="1:12" ht="22.5" x14ac:dyDescent="0.25">
      <c r="A425" s="44" t="s">
        <v>141</v>
      </c>
      <c r="B425" s="22" t="s">
        <v>157</v>
      </c>
      <c r="C425" s="23">
        <v>1</v>
      </c>
      <c r="D425" s="23">
        <v>283.06</v>
      </c>
      <c r="E425" s="24"/>
      <c r="F425" s="23"/>
      <c r="G425" s="25"/>
      <c r="H425" s="26"/>
      <c r="I425" s="26">
        <v>283.06</v>
      </c>
      <c r="J425" s="26"/>
      <c r="K425" s="26"/>
    </row>
    <row r="426" spans="1:12" ht="33.75" x14ac:dyDescent="0.25">
      <c r="A426" s="44" t="s">
        <v>141</v>
      </c>
      <c r="B426" s="22" t="s">
        <v>158</v>
      </c>
      <c r="C426" s="23">
        <v>-1</v>
      </c>
      <c r="D426" s="23">
        <v>93.07</v>
      </c>
      <c r="E426" s="24"/>
      <c r="F426" s="23"/>
      <c r="G426" s="25"/>
      <c r="H426" s="26"/>
      <c r="I426" s="26">
        <v>-93.07</v>
      </c>
      <c r="J426" s="26"/>
      <c r="K426" s="26"/>
    </row>
    <row r="427" spans="1:12" ht="22.5" x14ac:dyDescent="0.25">
      <c r="A427" s="44" t="s">
        <v>141</v>
      </c>
      <c r="B427" s="22" t="s">
        <v>159</v>
      </c>
      <c r="C427" s="23">
        <v>-1</v>
      </c>
      <c r="D427" s="23">
        <v>66.760000000000005</v>
      </c>
      <c r="E427" s="24"/>
      <c r="F427" s="23"/>
      <c r="G427" s="25"/>
      <c r="H427" s="26"/>
      <c r="I427" s="26">
        <v>-66.760000000000005</v>
      </c>
      <c r="J427" s="26"/>
      <c r="K427" s="26"/>
    </row>
    <row r="428" spans="1:12" ht="22.5" x14ac:dyDescent="0.25">
      <c r="A428" s="44" t="s">
        <v>144</v>
      </c>
      <c r="B428" s="22" t="s">
        <v>157</v>
      </c>
      <c r="C428" s="23">
        <v>1</v>
      </c>
      <c r="D428" s="23">
        <v>255.48000000000002</v>
      </c>
      <c r="E428" s="24"/>
      <c r="F428" s="23"/>
      <c r="G428" s="25"/>
      <c r="H428" s="26"/>
      <c r="I428" s="26">
        <v>255.48000000000002</v>
      </c>
      <c r="J428" s="26"/>
      <c r="K428" s="26"/>
    </row>
    <row r="429" spans="1:12" ht="33.75" x14ac:dyDescent="0.25">
      <c r="A429" s="44" t="s">
        <v>144</v>
      </c>
      <c r="B429" s="22" t="s">
        <v>158</v>
      </c>
      <c r="C429" s="23">
        <v>-1</v>
      </c>
      <c r="D429" s="23">
        <v>85.52</v>
      </c>
      <c r="E429" s="24"/>
      <c r="F429" s="23"/>
      <c r="G429" s="25"/>
      <c r="H429" s="26"/>
      <c r="I429" s="26">
        <v>-85.52</v>
      </c>
      <c r="J429" s="26"/>
      <c r="K429" s="26"/>
    </row>
    <row r="430" spans="1:12" ht="22.5" x14ac:dyDescent="0.25">
      <c r="A430" s="44" t="s">
        <v>144</v>
      </c>
      <c r="B430" s="22" t="s">
        <v>159</v>
      </c>
      <c r="C430" s="23">
        <v>-1</v>
      </c>
      <c r="D430" s="23">
        <v>70.13</v>
      </c>
      <c r="E430" s="24"/>
      <c r="F430" s="23"/>
      <c r="G430" s="25"/>
      <c r="H430" s="26"/>
      <c r="I430" s="26">
        <v>-70.13</v>
      </c>
      <c r="J430" s="26"/>
      <c r="K430" s="26"/>
    </row>
    <row r="431" spans="1:12" x14ac:dyDescent="0.25">
      <c r="A431" s="27"/>
      <c r="B431" s="28"/>
      <c r="C431" s="28"/>
      <c r="D431" s="28"/>
      <c r="E431" s="28"/>
      <c r="F431" s="272" t="s">
        <v>36</v>
      </c>
      <c r="G431" s="272"/>
      <c r="H431" s="272"/>
      <c r="I431" s="29">
        <v>223.06000000000006</v>
      </c>
      <c r="J431" s="29">
        <v>0</v>
      </c>
      <c r="K431" s="29"/>
    </row>
    <row r="432" spans="1:12" x14ac:dyDescent="0.25">
      <c r="A432" s="17"/>
      <c r="B432" s="273"/>
      <c r="C432" s="273"/>
      <c r="D432" s="273"/>
      <c r="E432" s="273"/>
      <c r="F432" s="273"/>
      <c r="G432" s="273"/>
      <c r="H432" s="273"/>
      <c r="I432" s="273"/>
      <c r="J432" s="273"/>
      <c r="K432" s="17"/>
    </row>
    <row r="433" spans="1:12" x14ac:dyDescent="0.25">
      <c r="A433" s="19" t="str">
        <f>'Lista de Serviços'!A137</f>
        <v>04.01.144</v>
      </c>
      <c r="B433" s="274" t="str">
        <f>'Lista de Serviços'!B138</f>
        <v>FIXAÇÃO (ENCUNHAMENTO) DE ALVENARIA DE VEDAÇÃO COM ESPUMA DE POLIURETANO EXPANSIVA. AF_03/2016</v>
      </c>
      <c r="C433" s="274"/>
      <c r="D433" s="274"/>
      <c r="E433" s="274"/>
      <c r="F433" s="274"/>
      <c r="G433" s="274"/>
      <c r="H433" s="274"/>
      <c r="I433" s="274"/>
      <c r="J433" s="274"/>
      <c r="K433" s="20"/>
      <c r="L433" s="18" t="s">
        <v>1412</v>
      </c>
    </row>
    <row r="434" spans="1:12" x14ac:dyDescent="0.25">
      <c r="A434" s="275"/>
      <c r="B434" s="275"/>
      <c r="C434" s="21"/>
      <c r="D434" s="21"/>
      <c r="E434" s="21"/>
      <c r="F434" s="21"/>
      <c r="G434" s="275" t="s">
        <v>23</v>
      </c>
      <c r="H434" s="275"/>
      <c r="I434" s="275" t="s">
        <v>24</v>
      </c>
      <c r="J434" s="275"/>
      <c r="K434" s="275"/>
    </row>
    <row r="435" spans="1:12" x14ac:dyDescent="0.25">
      <c r="A435" s="275" t="s">
        <v>25</v>
      </c>
      <c r="B435" s="275"/>
      <c r="C435" s="275" t="s">
        <v>26</v>
      </c>
      <c r="D435" s="275" t="s">
        <v>27</v>
      </c>
      <c r="E435" s="275" t="s">
        <v>28</v>
      </c>
      <c r="F435" s="275" t="s">
        <v>29</v>
      </c>
      <c r="G435" s="17" t="s">
        <v>30</v>
      </c>
      <c r="H435" s="17" t="s">
        <v>31</v>
      </c>
      <c r="I435" s="17" t="s">
        <v>32</v>
      </c>
      <c r="J435" s="17" t="s">
        <v>30</v>
      </c>
      <c r="K435" s="17" t="s">
        <v>31</v>
      </c>
    </row>
    <row r="436" spans="1:12" x14ac:dyDescent="0.25">
      <c r="A436" s="275"/>
      <c r="B436" s="275"/>
      <c r="C436" s="275"/>
      <c r="D436" s="275"/>
      <c r="E436" s="275"/>
      <c r="F436" s="275"/>
      <c r="G436" s="17" t="s">
        <v>33</v>
      </c>
      <c r="H436" s="17" t="s">
        <v>34</v>
      </c>
      <c r="I436" s="17" t="s">
        <v>35</v>
      </c>
      <c r="J436" s="17" t="s">
        <v>33</v>
      </c>
      <c r="K436" s="17" t="s">
        <v>34</v>
      </c>
    </row>
    <row r="437" spans="1:12" ht="22.5" x14ac:dyDescent="0.25">
      <c r="A437" s="44" t="s">
        <v>141</v>
      </c>
      <c r="B437" s="22" t="s">
        <v>157</v>
      </c>
      <c r="C437" s="23">
        <v>1</v>
      </c>
      <c r="D437" s="23">
        <v>283.06</v>
      </c>
      <c r="E437" s="24"/>
      <c r="F437" s="23"/>
      <c r="G437" s="25"/>
      <c r="H437" s="26"/>
      <c r="I437" s="26">
        <v>283.06</v>
      </c>
      <c r="J437" s="26"/>
      <c r="K437" s="26"/>
    </row>
    <row r="438" spans="1:12" ht="22.5" x14ac:dyDescent="0.25">
      <c r="A438" s="44" t="s">
        <v>141</v>
      </c>
      <c r="B438" s="22" t="s">
        <v>159</v>
      </c>
      <c r="C438" s="23">
        <v>-1</v>
      </c>
      <c r="D438" s="23">
        <v>66.760000000000005</v>
      </c>
      <c r="E438" s="24"/>
      <c r="F438" s="23"/>
      <c r="G438" s="25"/>
      <c r="H438" s="26"/>
      <c r="I438" s="26">
        <v>-66.760000000000005</v>
      </c>
      <c r="J438" s="26"/>
      <c r="K438" s="26"/>
    </row>
    <row r="439" spans="1:12" ht="22.5" x14ac:dyDescent="0.25">
      <c r="A439" s="44" t="s">
        <v>144</v>
      </c>
      <c r="B439" s="22" t="s">
        <v>157</v>
      </c>
      <c r="C439" s="23">
        <v>1</v>
      </c>
      <c r="D439" s="23">
        <v>255.48000000000002</v>
      </c>
      <c r="E439" s="24"/>
      <c r="F439" s="23"/>
      <c r="G439" s="25"/>
      <c r="H439" s="26"/>
      <c r="I439" s="26">
        <v>255.48000000000002</v>
      </c>
      <c r="J439" s="26"/>
      <c r="K439" s="26"/>
    </row>
    <row r="440" spans="1:12" ht="22.5" x14ac:dyDescent="0.25">
      <c r="A440" s="44" t="s">
        <v>144</v>
      </c>
      <c r="B440" s="22" t="s">
        <v>159</v>
      </c>
      <c r="C440" s="23">
        <v>-1</v>
      </c>
      <c r="D440" s="23">
        <v>70.13</v>
      </c>
      <c r="E440" s="24"/>
      <c r="F440" s="23"/>
      <c r="G440" s="25"/>
      <c r="H440" s="26"/>
      <c r="I440" s="26">
        <v>-70.13</v>
      </c>
      <c r="J440" s="26"/>
      <c r="K440" s="26"/>
    </row>
    <row r="441" spans="1:12" x14ac:dyDescent="0.25">
      <c r="A441" s="27"/>
      <c r="B441" s="28"/>
      <c r="C441" s="28"/>
      <c r="D441" s="28"/>
      <c r="E441" s="28"/>
      <c r="F441" s="272" t="s">
        <v>36</v>
      </c>
      <c r="G441" s="272"/>
      <c r="H441" s="272"/>
      <c r="I441" s="29">
        <v>401.65</v>
      </c>
      <c r="J441" s="29"/>
      <c r="K441" s="29"/>
    </row>
    <row r="442" spans="1:12" x14ac:dyDescent="0.25">
      <c r="A442" s="17"/>
      <c r="B442" s="273"/>
      <c r="C442" s="273"/>
      <c r="D442" s="273"/>
      <c r="E442" s="273"/>
      <c r="F442" s="273"/>
      <c r="G442" s="273"/>
      <c r="H442" s="273"/>
      <c r="I442" s="273"/>
      <c r="J442" s="273"/>
      <c r="K442" s="17"/>
    </row>
    <row r="443" spans="1:12" x14ac:dyDescent="0.25">
      <c r="A443" s="19" t="str">
        <f>'Lista de Serviços'!A169</f>
        <v>04.01.305</v>
      </c>
      <c r="B443" s="274" t="str">
        <f>'Lista de Serviços'!B170</f>
        <v>VIDRO COMUM LAMINADO, LISO, INCOLOR, DUPLO, ESPESSURA TOTAL 6 MM (CADA CAMADA E= 3 MM) - COLOCADO</v>
      </c>
      <c r="C443" s="274"/>
      <c r="D443" s="274"/>
      <c r="E443" s="274"/>
      <c r="F443" s="274"/>
      <c r="G443" s="274"/>
      <c r="H443" s="274"/>
      <c r="I443" s="274"/>
      <c r="J443" s="274"/>
      <c r="K443" s="20"/>
      <c r="L443" s="18" t="s">
        <v>1412</v>
      </c>
    </row>
    <row r="444" spans="1:12" x14ac:dyDescent="0.25">
      <c r="A444" s="275"/>
      <c r="B444" s="275"/>
      <c r="C444" s="21"/>
      <c r="D444" s="21"/>
      <c r="E444" s="21"/>
      <c r="F444" s="21"/>
      <c r="G444" s="275" t="s">
        <v>23</v>
      </c>
      <c r="H444" s="275"/>
      <c r="I444" s="275" t="s">
        <v>24</v>
      </c>
      <c r="J444" s="275"/>
      <c r="K444" s="275"/>
    </row>
    <row r="445" spans="1:12" x14ac:dyDescent="0.25">
      <c r="A445" s="275" t="s">
        <v>25</v>
      </c>
      <c r="B445" s="275"/>
      <c r="C445" s="275" t="s">
        <v>26</v>
      </c>
      <c r="D445" s="275" t="s">
        <v>27</v>
      </c>
      <c r="E445" s="275" t="s">
        <v>28</v>
      </c>
      <c r="F445" s="275" t="s">
        <v>29</v>
      </c>
      <c r="G445" s="80" t="s">
        <v>30</v>
      </c>
      <c r="H445" s="80" t="s">
        <v>31</v>
      </c>
      <c r="I445" s="80" t="s">
        <v>32</v>
      </c>
      <c r="J445" s="80" t="s">
        <v>30</v>
      </c>
      <c r="K445" s="80" t="s">
        <v>31</v>
      </c>
    </row>
    <row r="446" spans="1:12" x14ac:dyDescent="0.25">
      <c r="A446" s="275"/>
      <c r="B446" s="275"/>
      <c r="C446" s="275"/>
      <c r="D446" s="275"/>
      <c r="E446" s="275"/>
      <c r="F446" s="275"/>
      <c r="G446" s="80" t="s">
        <v>33</v>
      </c>
      <c r="H446" s="80" t="s">
        <v>34</v>
      </c>
      <c r="I446" s="80" t="s">
        <v>35</v>
      </c>
      <c r="J446" s="80" t="s">
        <v>33</v>
      </c>
      <c r="K446" s="80" t="s">
        <v>34</v>
      </c>
    </row>
    <row r="447" spans="1:12" x14ac:dyDescent="0.25">
      <c r="A447" s="80"/>
      <c r="B447" s="22" t="s">
        <v>106</v>
      </c>
      <c r="C447" s="23">
        <v>1</v>
      </c>
      <c r="D447" s="23"/>
      <c r="E447" s="24"/>
      <c r="F447" s="23"/>
      <c r="G447" s="25">
        <v>40.049999999999997</v>
      </c>
      <c r="H447" s="26"/>
      <c r="I447" s="26"/>
      <c r="J447" s="26">
        <v>40.049999999999997</v>
      </c>
      <c r="K447" s="26"/>
    </row>
    <row r="448" spans="1:12" x14ac:dyDescent="0.25">
      <c r="A448" s="80"/>
      <c r="B448" s="22" t="s">
        <v>145</v>
      </c>
      <c r="C448" s="23">
        <v>1</v>
      </c>
      <c r="D448" s="23"/>
      <c r="E448" s="24"/>
      <c r="F448" s="23"/>
      <c r="G448" s="25">
        <v>40.049999999999997</v>
      </c>
      <c r="H448" s="26"/>
      <c r="I448" s="26"/>
      <c r="J448" s="26">
        <v>40.049999999999997</v>
      </c>
      <c r="K448" s="26"/>
    </row>
    <row r="449" spans="1:12" x14ac:dyDescent="0.25">
      <c r="A449" s="80"/>
      <c r="B449" s="22" t="s">
        <v>171</v>
      </c>
      <c r="C449" s="23">
        <v>1</v>
      </c>
      <c r="D449" s="23"/>
      <c r="E449" s="24"/>
      <c r="F449" s="23"/>
      <c r="G449" s="25">
        <v>17.27</v>
      </c>
      <c r="H449" s="26"/>
      <c r="I449" s="26"/>
      <c r="J449" s="26">
        <v>17.27</v>
      </c>
      <c r="K449" s="26"/>
    </row>
    <row r="450" spans="1:12" x14ac:dyDescent="0.25">
      <c r="A450" s="80"/>
      <c r="B450" s="22" t="s">
        <v>105</v>
      </c>
      <c r="C450" s="23">
        <v>1</v>
      </c>
      <c r="D450" s="23"/>
      <c r="E450" s="24"/>
      <c r="F450" s="23"/>
      <c r="G450" s="25">
        <v>27.8</v>
      </c>
      <c r="H450" s="26"/>
      <c r="I450" s="26"/>
      <c r="J450" s="26">
        <v>27.8</v>
      </c>
      <c r="K450" s="26"/>
    </row>
    <row r="451" spans="1:12" x14ac:dyDescent="0.25">
      <c r="A451" s="80"/>
      <c r="B451" s="22" t="s">
        <v>107</v>
      </c>
      <c r="C451" s="23">
        <v>1</v>
      </c>
      <c r="D451" s="23"/>
      <c r="E451" s="24"/>
      <c r="F451" s="23"/>
      <c r="G451" s="25">
        <v>2.0099999999999998</v>
      </c>
      <c r="H451" s="26"/>
      <c r="I451" s="26"/>
      <c r="J451" s="26">
        <v>2.0099999999999998</v>
      </c>
      <c r="K451" s="26"/>
    </row>
    <row r="452" spans="1:12" x14ac:dyDescent="0.25">
      <c r="A452" s="80"/>
      <c r="B452" s="22" t="s">
        <v>108</v>
      </c>
      <c r="C452" s="23">
        <v>1</v>
      </c>
      <c r="D452" s="23"/>
      <c r="E452" s="24"/>
      <c r="F452" s="23"/>
      <c r="G452" s="25">
        <v>1.25</v>
      </c>
      <c r="H452" s="26"/>
      <c r="I452" s="26"/>
      <c r="J452" s="26">
        <v>1.25</v>
      </c>
      <c r="K452" s="26"/>
    </row>
    <row r="453" spans="1:12" x14ac:dyDescent="0.25">
      <c r="A453" s="80"/>
      <c r="B453" s="22" t="s">
        <v>146</v>
      </c>
      <c r="C453" s="23">
        <v>1</v>
      </c>
      <c r="D453" s="23"/>
      <c r="E453" s="24"/>
      <c r="F453" s="23"/>
      <c r="G453" s="25">
        <v>1.33</v>
      </c>
      <c r="H453" s="26"/>
      <c r="I453" s="26"/>
      <c r="J453" s="26">
        <v>1.33</v>
      </c>
      <c r="K453" s="26"/>
    </row>
    <row r="454" spans="1:12" x14ac:dyDescent="0.25">
      <c r="A454" s="80"/>
      <c r="B454" s="22" t="s">
        <v>172</v>
      </c>
      <c r="C454" s="23">
        <v>1</v>
      </c>
      <c r="D454" s="23"/>
      <c r="E454" s="24"/>
      <c r="F454" s="23"/>
      <c r="G454" s="25">
        <v>21.2</v>
      </c>
      <c r="H454" s="26"/>
      <c r="I454" s="26"/>
      <c r="J454" s="26">
        <v>21.2</v>
      </c>
      <c r="K454" s="26"/>
    </row>
    <row r="455" spans="1:12" x14ac:dyDescent="0.25">
      <c r="A455" s="80"/>
      <c r="B455" s="22" t="s">
        <v>147</v>
      </c>
      <c r="C455" s="23">
        <v>1</v>
      </c>
      <c r="D455" s="23"/>
      <c r="E455" s="24"/>
      <c r="F455" s="23"/>
      <c r="G455" s="25">
        <v>27.5</v>
      </c>
      <c r="H455" s="26"/>
      <c r="I455" s="26"/>
      <c r="J455" s="26">
        <v>27.5</v>
      </c>
      <c r="K455" s="26"/>
    </row>
    <row r="456" spans="1:12" x14ac:dyDescent="0.25">
      <c r="A456" s="80"/>
      <c r="B456" s="22" t="s">
        <v>148</v>
      </c>
      <c r="C456" s="23">
        <v>1</v>
      </c>
      <c r="D456" s="23"/>
      <c r="E456" s="24"/>
      <c r="F456" s="23"/>
      <c r="G456" s="25">
        <v>3.86</v>
      </c>
      <c r="H456" s="26"/>
      <c r="I456" s="26"/>
      <c r="J456" s="26">
        <v>3.86</v>
      </c>
      <c r="K456" s="26"/>
    </row>
    <row r="457" spans="1:12" x14ac:dyDescent="0.25">
      <c r="A457" s="80"/>
      <c r="B457" s="22" t="s">
        <v>149</v>
      </c>
      <c r="C457" s="23">
        <v>1</v>
      </c>
      <c r="D457" s="23"/>
      <c r="E457" s="24"/>
      <c r="F457" s="23"/>
      <c r="G457" s="25">
        <v>2.16</v>
      </c>
      <c r="H457" s="26"/>
      <c r="I457" s="26"/>
      <c r="J457" s="26">
        <v>2.16</v>
      </c>
      <c r="K457" s="26"/>
    </row>
    <row r="458" spans="1:12" x14ac:dyDescent="0.25">
      <c r="A458" s="80"/>
      <c r="B458" s="22" t="s">
        <v>150</v>
      </c>
      <c r="C458" s="23">
        <v>1</v>
      </c>
      <c r="D458" s="23"/>
      <c r="E458" s="24"/>
      <c r="F458" s="23"/>
      <c r="G458" s="25">
        <v>2.2999999999999998</v>
      </c>
      <c r="H458" s="26"/>
      <c r="I458" s="26"/>
      <c r="J458" s="26">
        <v>2.2999999999999998</v>
      </c>
      <c r="K458" s="26"/>
    </row>
    <row r="459" spans="1:12" x14ac:dyDescent="0.25">
      <c r="A459" s="80"/>
      <c r="B459" s="22" t="s">
        <v>140</v>
      </c>
      <c r="C459" s="23">
        <v>2</v>
      </c>
      <c r="D459" s="23"/>
      <c r="E459" s="24"/>
      <c r="F459" s="23"/>
      <c r="G459" s="25">
        <v>6.2100000000000009</v>
      </c>
      <c r="H459" s="26"/>
      <c r="I459" s="26"/>
      <c r="J459" s="26">
        <v>12.420000000000002</v>
      </c>
      <c r="K459" s="26"/>
    </row>
    <row r="460" spans="1:12" x14ac:dyDescent="0.25">
      <c r="A460" s="27"/>
      <c r="B460" s="28"/>
      <c r="C460" s="28"/>
      <c r="D460" s="28"/>
      <c r="E460" s="28"/>
      <c r="F460" s="272" t="s">
        <v>36</v>
      </c>
      <c r="G460" s="272"/>
      <c r="H460" s="272"/>
      <c r="I460" s="29"/>
      <c r="J460" s="29">
        <v>199.2</v>
      </c>
      <c r="K460" s="29"/>
    </row>
    <row r="461" spans="1:12" x14ac:dyDescent="0.25">
      <c r="A461" s="43"/>
      <c r="B461" s="273"/>
      <c r="C461" s="273"/>
      <c r="D461" s="273"/>
      <c r="E461" s="273"/>
      <c r="F461" s="273"/>
      <c r="G461" s="273"/>
      <c r="H461" s="273"/>
      <c r="I461" s="273"/>
      <c r="J461" s="273"/>
      <c r="K461" s="43"/>
    </row>
    <row r="462" spans="1:12" x14ac:dyDescent="0.25">
      <c r="A462" s="19" t="str">
        <f>'Lista de Serviços'!A175</f>
        <v>04.01.404</v>
      </c>
      <c r="B462" s="274" t="str">
        <f>'Lista de Serviços'!B176</f>
        <v>Fornecimento e instalação de chapas de policarbonato compacto, e = 6mm, em cobertura</v>
      </c>
      <c r="C462" s="274"/>
      <c r="D462" s="274"/>
      <c r="E462" s="274"/>
      <c r="F462" s="274"/>
      <c r="G462" s="274"/>
      <c r="H462" s="274"/>
      <c r="I462" s="274"/>
      <c r="J462" s="274"/>
      <c r="K462" s="20"/>
      <c r="L462" s="18" t="s">
        <v>1412</v>
      </c>
    </row>
    <row r="463" spans="1:12" x14ac:dyDescent="0.25">
      <c r="A463" s="275"/>
      <c r="B463" s="275"/>
      <c r="C463" s="21"/>
      <c r="D463" s="21"/>
      <c r="E463" s="21"/>
      <c r="F463" s="21"/>
      <c r="G463" s="275" t="s">
        <v>23</v>
      </c>
      <c r="H463" s="275"/>
      <c r="I463" s="275" t="s">
        <v>24</v>
      </c>
      <c r="J463" s="275"/>
      <c r="K463" s="275"/>
    </row>
    <row r="464" spans="1:12" x14ac:dyDescent="0.25">
      <c r="A464" s="275" t="s">
        <v>25</v>
      </c>
      <c r="B464" s="275"/>
      <c r="C464" s="275" t="s">
        <v>26</v>
      </c>
      <c r="D464" s="275" t="s">
        <v>27</v>
      </c>
      <c r="E464" s="275" t="s">
        <v>28</v>
      </c>
      <c r="F464" s="275" t="s">
        <v>29</v>
      </c>
      <c r="G464" s="82" t="s">
        <v>30</v>
      </c>
      <c r="H464" s="82" t="s">
        <v>31</v>
      </c>
      <c r="I464" s="82" t="s">
        <v>32</v>
      </c>
      <c r="J464" s="82" t="s">
        <v>30</v>
      </c>
      <c r="K464" s="82" t="s">
        <v>31</v>
      </c>
    </row>
    <row r="465" spans="1:12" x14ac:dyDescent="0.25">
      <c r="A465" s="275"/>
      <c r="B465" s="275"/>
      <c r="C465" s="275"/>
      <c r="D465" s="275"/>
      <c r="E465" s="275"/>
      <c r="F465" s="275"/>
      <c r="G465" s="82" t="s">
        <v>33</v>
      </c>
      <c r="H465" s="82" t="s">
        <v>34</v>
      </c>
      <c r="I465" s="82" t="s">
        <v>35</v>
      </c>
      <c r="J465" s="82" t="s">
        <v>33</v>
      </c>
      <c r="K465" s="82" t="s">
        <v>34</v>
      </c>
    </row>
    <row r="466" spans="1:12" x14ac:dyDescent="0.25">
      <c r="A466" s="43"/>
      <c r="B466" s="22" t="s">
        <v>202</v>
      </c>
      <c r="C466" s="86">
        <v>1.0012471190338688</v>
      </c>
      <c r="D466" s="23"/>
      <c r="E466" s="24"/>
      <c r="F466" s="23"/>
      <c r="G466" s="25">
        <v>22.3</v>
      </c>
      <c r="H466" s="26"/>
      <c r="I466" s="26"/>
      <c r="J466" s="26">
        <v>22.327810754455275</v>
      </c>
      <c r="K466" s="26"/>
    </row>
    <row r="467" spans="1:12" x14ac:dyDescent="0.25">
      <c r="A467" s="43"/>
      <c r="B467" s="85" t="s">
        <v>200</v>
      </c>
      <c r="C467" s="84"/>
      <c r="D467" s="23"/>
      <c r="E467" s="24"/>
      <c r="F467" s="23"/>
      <c r="G467" s="25"/>
      <c r="H467" s="26"/>
      <c r="I467" s="26"/>
      <c r="J467" s="26"/>
      <c r="K467" s="26"/>
    </row>
    <row r="468" spans="1:12" x14ac:dyDescent="0.25">
      <c r="A468" s="43"/>
      <c r="B468" s="273" t="s">
        <v>201</v>
      </c>
      <c r="C468" s="273"/>
      <c r="D468" s="273"/>
      <c r="E468" s="273"/>
      <c r="F468" s="273"/>
      <c r="G468" s="25"/>
      <c r="H468" s="26"/>
      <c r="I468" s="26"/>
      <c r="J468" s="26"/>
      <c r="K468" s="26"/>
    </row>
    <row r="469" spans="1:12" x14ac:dyDescent="0.25">
      <c r="A469" s="43"/>
      <c r="B469" s="273" t="s">
        <v>203</v>
      </c>
      <c r="C469" s="273"/>
      <c r="D469" s="273"/>
      <c r="E469" s="273"/>
      <c r="F469" s="273"/>
      <c r="G469" s="25"/>
      <c r="H469" s="26"/>
      <c r="I469" s="26"/>
      <c r="J469" s="26"/>
      <c r="K469" s="26"/>
    </row>
    <row r="470" spans="1:12" x14ac:dyDescent="0.25">
      <c r="A470" s="27"/>
      <c r="B470" s="28"/>
      <c r="C470" s="28"/>
      <c r="D470" s="28"/>
      <c r="E470" s="28"/>
      <c r="F470" s="272" t="s">
        <v>36</v>
      </c>
      <c r="G470" s="272"/>
      <c r="H470" s="272"/>
      <c r="I470" s="29"/>
      <c r="J470" s="29">
        <v>22.33</v>
      </c>
      <c r="K470" s="29"/>
    </row>
    <row r="471" spans="1:12" x14ac:dyDescent="0.25">
      <c r="A471" s="43"/>
      <c r="B471" s="273"/>
      <c r="C471" s="273"/>
      <c r="D471" s="273"/>
      <c r="E471" s="273"/>
      <c r="F471" s="273"/>
      <c r="G471" s="273"/>
      <c r="H471" s="273"/>
      <c r="I471" s="273"/>
      <c r="J471" s="273"/>
      <c r="K471" s="43"/>
    </row>
    <row r="472" spans="1:12" x14ac:dyDescent="0.25">
      <c r="A472" s="19" t="str">
        <f>'Lista de Serviços'!A192</f>
        <v>04.01.515</v>
      </c>
      <c r="B472" s="274" t="str">
        <f>'Lista de Serviços'!B193</f>
        <v>PISO EM GRANITO APLICADO EM AMBIENTES INTERNOS. AF_06/2018</v>
      </c>
      <c r="C472" s="274"/>
      <c r="D472" s="274"/>
      <c r="E472" s="274"/>
      <c r="F472" s="274"/>
      <c r="G472" s="274"/>
      <c r="H472" s="274"/>
      <c r="I472" s="274"/>
      <c r="J472" s="274"/>
      <c r="K472" s="20"/>
      <c r="L472" s="18" t="s">
        <v>1412</v>
      </c>
    </row>
    <row r="473" spans="1:12" x14ac:dyDescent="0.25">
      <c r="A473" s="275"/>
      <c r="B473" s="275"/>
      <c r="C473" s="21"/>
      <c r="D473" s="21"/>
      <c r="E473" s="21"/>
      <c r="F473" s="21"/>
      <c r="G473" s="275" t="s">
        <v>23</v>
      </c>
      <c r="H473" s="275"/>
      <c r="I473" s="275" t="s">
        <v>24</v>
      </c>
      <c r="J473" s="275"/>
      <c r="K473" s="275"/>
    </row>
    <row r="474" spans="1:12" x14ac:dyDescent="0.25">
      <c r="A474" s="275" t="s">
        <v>25</v>
      </c>
      <c r="B474" s="275"/>
      <c r="C474" s="275" t="s">
        <v>26</v>
      </c>
      <c r="D474" s="275" t="s">
        <v>27</v>
      </c>
      <c r="E474" s="275" t="s">
        <v>28</v>
      </c>
      <c r="F474" s="275" t="s">
        <v>29</v>
      </c>
      <c r="G474" s="134" t="s">
        <v>30</v>
      </c>
      <c r="H474" s="134" t="s">
        <v>31</v>
      </c>
      <c r="I474" s="134" t="s">
        <v>32</v>
      </c>
      <c r="J474" s="134" t="s">
        <v>30</v>
      </c>
      <c r="K474" s="134" t="s">
        <v>31</v>
      </c>
    </row>
    <row r="475" spans="1:12" x14ac:dyDescent="0.25">
      <c r="A475" s="275"/>
      <c r="B475" s="275"/>
      <c r="C475" s="275"/>
      <c r="D475" s="275"/>
      <c r="E475" s="275"/>
      <c r="F475" s="275"/>
      <c r="G475" s="134" t="s">
        <v>33</v>
      </c>
      <c r="H475" s="134" t="s">
        <v>34</v>
      </c>
      <c r="I475" s="134" t="s">
        <v>35</v>
      </c>
      <c r="J475" s="134" t="s">
        <v>33</v>
      </c>
      <c r="K475" s="134" t="s">
        <v>34</v>
      </c>
    </row>
    <row r="476" spans="1:12" ht="22.5" x14ac:dyDescent="0.25">
      <c r="A476" s="134"/>
      <c r="B476" s="22" t="s">
        <v>831</v>
      </c>
      <c r="C476" s="23">
        <v>24</v>
      </c>
      <c r="D476" s="23">
        <v>1.53</v>
      </c>
      <c r="E476" s="24">
        <v>0.49</v>
      </c>
      <c r="F476" s="23"/>
      <c r="G476" s="79">
        <v>0.74970000000000003</v>
      </c>
      <c r="H476" s="26"/>
      <c r="I476" s="26"/>
      <c r="J476" s="26">
        <v>17.992800000000003</v>
      </c>
      <c r="K476" s="26"/>
    </row>
    <row r="477" spans="1:12" ht="22.5" x14ac:dyDescent="0.25">
      <c r="A477" s="134"/>
      <c r="B477" s="22" t="s">
        <v>832</v>
      </c>
      <c r="C477" s="23">
        <v>24</v>
      </c>
      <c r="D477" s="23">
        <v>1.5</v>
      </c>
      <c r="E477" s="24">
        <v>0.49</v>
      </c>
      <c r="F477" s="23"/>
      <c r="G477" s="79">
        <v>0.73499999999999999</v>
      </c>
      <c r="H477" s="26"/>
      <c r="I477" s="26"/>
      <c r="J477" s="26">
        <v>17.64</v>
      </c>
      <c r="K477" s="26"/>
    </row>
    <row r="478" spans="1:12" x14ac:dyDescent="0.25">
      <c r="A478" s="134"/>
      <c r="B478" s="22" t="s">
        <v>833</v>
      </c>
      <c r="C478" s="23">
        <v>1</v>
      </c>
      <c r="D478" s="23"/>
      <c r="E478" s="24"/>
      <c r="F478" s="23"/>
      <c r="G478" s="79">
        <v>40.150000000000006</v>
      </c>
      <c r="H478" s="26"/>
      <c r="I478" s="26"/>
      <c r="J478" s="26">
        <v>40.150000000000006</v>
      </c>
      <c r="K478" s="26"/>
    </row>
    <row r="479" spans="1:12" x14ac:dyDescent="0.25">
      <c r="A479" s="27"/>
      <c r="B479" s="28"/>
      <c r="C479" s="28"/>
      <c r="D479" s="28"/>
      <c r="E479" s="28"/>
      <c r="F479" s="272" t="s">
        <v>36</v>
      </c>
      <c r="G479" s="272"/>
      <c r="H479" s="272"/>
      <c r="I479" s="29"/>
      <c r="J479" s="29">
        <v>75.78</v>
      </c>
      <c r="K479" s="29"/>
    </row>
    <row r="480" spans="1:12" x14ac:dyDescent="0.25">
      <c r="A480" s="134"/>
      <c r="B480" s="273"/>
      <c r="C480" s="273"/>
      <c r="D480" s="273"/>
      <c r="E480" s="273"/>
      <c r="F480" s="273"/>
      <c r="G480" s="273"/>
      <c r="H480" s="273"/>
      <c r="I480" s="273"/>
      <c r="J480" s="273"/>
      <c r="K480" s="134"/>
    </row>
    <row r="481" spans="1:12" x14ac:dyDescent="0.25">
      <c r="A481" s="19" t="str">
        <f>'Lista de Serviços'!A194</f>
        <v>04.01.516</v>
      </c>
      <c r="B481" s="274" t="str">
        <f>'Lista de Serviços'!B195</f>
        <v>PISO EM GRANILITE, MARMORITE OU GRANITINA ESPESSURA 8 MM, INCLUSO JUNTAS DE DILATACAO PLASTICAS</v>
      </c>
      <c r="C481" s="274"/>
      <c r="D481" s="274"/>
      <c r="E481" s="274"/>
      <c r="F481" s="274"/>
      <c r="G481" s="274"/>
      <c r="H481" s="274"/>
      <c r="I481" s="274"/>
      <c r="J481" s="274"/>
      <c r="K481" s="20"/>
      <c r="L481" s="18" t="s">
        <v>1412</v>
      </c>
    </row>
    <row r="482" spans="1:12" x14ac:dyDescent="0.25">
      <c r="A482" s="275"/>
      <c r="B482" s="275"/>
      <c r="C482" s="21"/>
      <c r="D482" s="21"/>
      <c r="E482" s="21"/>
      <c r="F482" s="21"/>
      <c r="G482" s="275" t="s">
        <v>23</v>
      </c>
      <c r="H482" s="275"/>
      <c r="I482" s="275" t="s">
        <v>24</v>
      </c>
      <c r="J482" s="275"/>
      <c r="K482" s="275"/>
    </row>
    <row r="483" spans="1:12" x14ac:dyDescent="0.25">
      <c r="A483" s="275" t="s">
        <v>25</v>
      </c>
      <c r="B483" s="275"/>
      <c r="C483" s="275" t="s">
        <v>26</v>
      </c>
      <c r="D483" s="275" t="s">
        <v>27</v>
      </c>
      <c r="E483" s="275" t="s">
        <v>28</v>
      </c>
      <c r="F483" s="275" t="s">
        <v>29</v>
      </c>
      <c r="G483" s="134" t="s">
        <v>30</v>
      </c>
      <c r="H483" s="134" t="s">
        <v>31</v>
      </c>
      <c r="I483" s="134" t="s">
        <v>32</v>
      </c>
      <c r="J483" s="134" t="s">
        <v>30</v>
      </c>
      <c r="K483" s="134" t="s">
        <v>31</v>
      </c>
    </row>
    <row r="484" spans="1:12" x14ac:dyDescent="0.25">
      <c r="A484" s="275"/>
      <c r="B484" s="275"/>
      <c r="C484" s="275"/>
      <c r="D484" s="275"/>
      <c r="E484" s="275"/>
      <c r="F484" s="275"/>
      <c r="G484" s="134" t="s">
        <v>33</v>
      </c>
      <c r="H484" s="134" t="s">
        <v>34</v>
      </c>
      <c r="I484" s="134" t="s">
        <v>35</v>
      </c>
      <c r="J484" s="134" t="s">
        <v>33</v>
      </c>
      <c r="K484" s="134" t="s">
        <v>34</v>
      </c>
    </row>
    <row r="485" spans="1:12" x14ac:dyDescent="0.25">
      <c r="A485" s="134" t="s">
        <v>1419</v>
      </c>
      <c r="B485" s="22" t="s">
        <v>837</v>
      </c>
      <c r="C485" s="23">
        <v>1</v>
      </c>
      <c r="D485" s="23">
        <v>1.5</v>
      </c>
      <c r="E485" s="24">
        <v>0.9</v>
      </c>
      <c r="F485" s="23"/>
      <c r="G485" s="79">
        <v>1.35</v>
      </c>
      <c r="H485" s="26"/>
      <c r="I485" s="26"/>
      <c r="J485" s="26">
        <v>1.35</v>
      </c>
      <c r="K485" s="26"/>
    </row>
    <row r="486" spans="1:12" ht="22.5" x14ac:dyDescent="0.25">
      <c r="A486" s="150" t="s">
        <v>1419</v>
      </c>
      <c r="B486" s="22" t="s">
        <v>838</v>
      </c>
      <c r="C486" s="23">
        <v>1</v>
      </c>
      <c r="D486" s="23">
        <v>1.67</v>
      </c>
      <c r="E486" s="24">
        <v>0.15</v>
      </c>
      <c r="F486" s="23"/>
      <c r="G486" s="79">
        <v>0.2505</v>
      </c>
      <c r="H486" s="26"/>
      <c r="I486" s="26"/>
      <c r="J486" s="26">
        <v>0.2505</v>
      </c>
      <c r="K486" s="26"/>
    </row>
    <row r="487" spans="1:12" x14ac:dyDescent="0.25">
      <c r="A487" s="150" t="s">
        <v>1419</v>
      </c>
      <c r="B487" s="22" t="s">
        <v>839</v>
      </c>
      <c r="C487" s="23">
        <v>1</v>
      </c>
      <c r="D487" s="23">
        <v>2.35</v>
      </c>
      <c r="E487" s="24">
        <v>0.15</v>
      </c>
      <c r="F487" s="23"/>
      <c r="G487" s="79">
        <v>0.35249999999999998</v>
      </c>
      <c r="H487" s="26"/>
      <c r="I487" s="26"/>
      <c r="J487" s="26">
        <v>0.35249999999999998</v>
      </c>
      <c r="K487" s="26"/>
    </row>
    <row r="488" spans="1:12" x14ac:dyDescent="0.25">
      <c r="A488" s="27"/>
      <c r="B488" s="28"/>
      <c r="C488" s="28"/>
      <c r="D488" s="28"/>
      <c r="E488" s="28"/>
      <c r="F488" s="272" t="s">
        <v>36</v>
      </c>
      <c r="G488" s="272"/>
      <c r="H488" s="272"/>
      <c r="I488" s="29"/>
      <c r="J488" s="29">
        <v>1.95</v>
      </c>
      <c r="K488" s="29"/>
    </row>
    <row r="489" spans="1:12" x14ac:dyDescent="0.25">
      <c r="A489" s="134"/>
      <c r="B489" s="273"/>
      <c r="C489" s="273"/>
      <c r="D489" s="273"/>
      <c r="E489" s="273"/>
      <c r="F489" s="273"/>
      <c r="G489" s="273"/>
      <c r="H489" s="273"/>
      <c r="I489" s="273"/>
      <c r="J489" s="273"/>
      <c r="K489" s="134"/>
    </row>
    <row r="490" spans="1:12" x14ac:dyDescent="0.25">
      <c r="A490" s="19" t="str">
        <f>'Lista de Serviços'!A206</f>
        <v>04.01.530</v>
      </c>
      <c r="B490" s="274" t="s">
        <v>308</v>
      </c>
      <c r="C490" s="274"/>
      <c r="D490" s="274"/>
      <c r="E490" s="274"/>
      <c r="F490" s="274"/>
      <c r="G490" s="274"/>
      <c r="H490" s="274"/>
      <c r="I490" s="274"/>
      <c r="J490" s="274"/>
      <c r="K490" s="20"/>
      <c r="L490" s="18" t="s">
        <v>1412</v>
      </c>
    </row>
    <row r="491" spans="1:12" x14ac:dyDescent="0.25">
      <c r="A491" s="275"/>
      <c r="B491" s="275"/>
      <c r="C491" s="21"/>
      <c r="D491" s="21"/>
      <c r="E491" s="21"/>
      <c r="F491" s="21"/>
      <c r="G491" s="275" t="s">
        <v>23</v>
      </c>
      <c r="H491" s="275"/>
      <c r="I491" s="275" t="s">
        <v>24</v>
      </c>
      <c r="J491" s="275"/>
      <c r="K491" s="275"/>
    </row>
    <row r="492" spans="1:12" x14ac:dyDescent="0.25">
      <c r="A492" s="275" t="s">
        <v>25</v>
      </c>
      <c r="B492" s="275"/>
      <c r="C492" s="275" t="s">
        <v>26</v>
      </c>
      <c r="D492" s="275" t="s">
        <v>27</v>
      </c>
      <c r="E492" s="275" t="s">
        <v>28</v>
      </c>
      <c r="F492" s="275" t="s">
        <v>29</v>
      </c>
      <c r="G492" s="94" t="s">
        <v>30</v>
      </c>
      <c r="H492" s="94" t="s">
        <v>31</v>
      </c>
      <c r="I492" s="94" t="s">
        <v>32</v>
      </c>
      <c r="J492" s="94" t="s">
        <v>30</v>
      </c>
      <c r="K492" s="94" t="s">
        <v>31</v>
      </c>
    </row>
    <row r="493" spans="1:12" x14ac:dyDescent="0.25">
      <c r="A493" s="275"/>
      <c r="B493" s="275"/>
      <c r="C493" s="275"/>
      <c r="D493" s="275"/>
      <c r="E493" s="275"/>
      <c r="F493" s="275"/>
      <c r="G493" s="94" t="s">
        <v>33</v>
      </c>
      <c r="H493" s="94" t="s">
        <v>34</v>
      </c>
      <c r="I493" s="94" t="s">
        <v>35</v>
      </c>
      <c r="J493" s="94" t="s">
        <v>33</v>
      </c>
      <c r="K493" s="94" t="s">
        <v>34</v>
      </c>
    </row>
    <row r="494" spans="1:12" x14ac:dyDescent="0.25">
      <c r="A494" s="94"/>
      <c r="B494" s="22" t="s">
        <v>164</v>
      </c>
      <c r="C494" s="23">
        <v>2</v>
      </c>
      <c r="D494" s="23">
        <v>79.599999999999994</v>
      </c>
      <c r="E494" s="24"/>
      <c r="F494" s="23">
        <v>0.22</v>
      </c>
      <c r="G494" s="79">
        <v>17.512</v>
      </c>
      <c r="H494" s="26"/>
      <c r="I494" s="26"/>
      <c r="J494" s="26">
        <v>35.024000000000001</v>
      </c>
      <c r="K494" s="26"/>
    </row>
    <row r="495" spans="1:12" x14ac:dyDescent="0.25">
      <c r="A495" s="27"/>
      <c r="B495" s="28"/>
      <c r="C495" s="28"/>
      <c r="D495" s="28"/>
      <c r="E495" s="28"/>
      <c r="F495" s="272" t="s">
        <v>36</v>
      </c>
      <c r="G495" s="272"/>
      <c r="H495" s="272"/>
      <c r="I495" s="29"/>
      <c r="J495" s="29">
        <v>35.020000000000003</v>
      </c>
      <c r="K495" s="29"/>
    </row>
    <row r="496" spans="1:12" x14ac:dyDescent="0.25">
      <c r="A496" s="94"/>
      <c r="B496" s="273"/>
      <c r="C496" s="273"/>
      <c r="D496" s="273"/>
      <c r="E496" s="273"/>
      <c r="F496" s="273"/>
      <c r="G496" s="273"/>
      <c r="H496" s="273"/>
      <c r="I496" s="273"/>
      <c r="J496" s="273"/>
      <c r="K496" s="94"/>
    </row>
    <row r="497" spans="1:12" ht="26.25" customHeight="1" x14ac:dyDescent="0.25">
      <c r="A497" s="19" t="str">
        <f>'Lista de Serviços'!A214</f>
        <v>04.01.534</v>
      </c>
      <c r="B497" s="274" t="str">
        <f>'Lista de Serviços'!B216</f>
        <v>REVESTIMENTO CERÂMICO PARA PAREDES INTERNAS COM PLACAS TIPO ESMALTADA EXTRA DE DIMENSÕES 20X20 CM APLICADAS EM AMBIENTES DE ÁREA MAIOR QUE 5 M² A MEIA ALTURA DAS PAREDES. AF_06/2014</v>
      </c>
      <c r="C497" s="274"/>
      <c r="D497" s="274"/>
      <c r="E497" s="274"/>
      <c r="F497" s="274"/>
      <c r="G497" s="274"/>
      <c r="H497" s="274"/>
      <c r="I497" s="274"/>
      <c r="J497" s="274"/>
      <c r="K497" s="20"/>
      <c r="L497" s="18" t="s">
        <v>1412</v>
      </c>
    </row>
    <row r="498" spans="1:12" x14ac:dyDescent="0.25">
      <c r="A498" s="275"/>
      <c r="B498" s="275"/>
      <c r="C498" s="21"/>
      <c r="D498" s="21"/>
      <c r="E498" s="21"/>
      <c r="F498" s="21"/>
      <c r="G498" s="275" t="s">
        <v>23</v>
      </c>
      <c r="H498" s="275"/>
      <c r="I498" s="275" t="s">
        <v>24</v>
      </c>
      <c r="J498" s="275"/>
      <c r="K498" s="275"/>
    </row>
    <row r="499" spans="1:12" x14ac:dyDescent="0.25">
      <c r="A499" s="275" t="s">
        <v>25</v>
      </c>
      <c r="B499" s="275"/>
      <c r="C499" s="275" t="s">
        <v>26</v>
      </c>
      <c r="D499" s="275" t="s">
        <v>27</v>
      </c>
      <c r="E499" s="275" t="s">
        <v>28</v>
      </c>
      <c r="F499" s="275" t="s">
        <v>29</v>
      </c>
      <c r="G499" s="82" t="s">
        <v>30</v>
      </c>
      <c r="H499" s="82" t="s">
        <v>31</v>
      </c>
      <c r="I499" s="82" t="s">
        <v>32</v>
      </c>
      <c r="J499" s="82" t="s">
        <v>30</v>
      </c>
      <c r="K499" s="82" t="s">
        <v>31</v>
      </c>
    </row>
    <row r="500" spans="1:12" x14ac:dyDescent="0.25">
      <c r="A500" s="275"/>
      <c r="B500" s="275"/>
      <c r="C500" s="275"/>
      <c r="D500" s="275"/>
      <c r="E500" s="275"/>
      <c r="F500" s="275"/>
      <c r="G500" s="82" t="s">
        <v>33</v>
      </c>
      <c r="H500" s="82" t="s">
        <v>34</v>
      </c>
      <c r="I500" s="82" t="s">
        <v>35</v>
      </c>
      <c r="J500" s="82" t="s">
        <v>33</v>
      </c>
      <c r="K500" s="82" t="s">
        <v>34</v>
      </c>
    </row>
    <row r="501" spans="1:12" x14ac:dyDescent="0.25">
      <c r="A501" s="82" t="s">
        <v>141</v>
      </c>
      <c r="B501" s="22" t="s">
        <v>255</v>
      </c>
      <c r="C501" s="23">
        <v>1</v>
      </c>
      <c r="D501" s="23">
        <v>13.63</v>
      </c>
      <c r="E501" s="24"/>
      <c r="F501" s="23">
        <v>1.8</v>
      </c>
      <c r="G501" s="79">
        <v>24.534000000000002</v>
      </c>
      <c r="H501" s="26"/>
      <c r="I501" s="26"/>
      <c r="J501" s="26">
        <v>24.534000000000002</v>
      </c>
      <c r="K501" s="26"/>
    </row>
    <row r="502" spans="1:12" x14ac:dyDescent="0.25">
      <c r="A502" s="82" t="s">
        <v>141</v>
      </c>
      <c r="B502" s="22" t="s">
        <v>256</v>
      </c>
      <c r="C502" s="23">
        <v>1</v>
      </c>
      <c r="D502" s="23">
        <v>13.63</v>
      </c>
      <c r="E502" s="24"/>
      <c r="F502" s="23">
        <v>1.8</v>
      </c>
      <c r="G502" s="79">
        <v>24.534000000000002</v>
      </c>
      <c r="H502" s="26"/>
      <c r="I502" s="26"/>
      <c r="J502" s="26">
        <v>24.534000000000002</v>
      </c>
      <c r="K502" s="26"/>
    </row>
    <row r="503" spans="1:12" x14ac:dyDescent="0.25">
      <c r="A503" s="82" t="s">
        <v>141</v>
      </c>
      <c r="B503" s="22" t="s">
        <v>257</v>
      </c>
      <c r="C503" s="23">
        <v>1</v>
      </c>
      <c r="D503" s="23">
        <v>6.69</v>
      </c>
      <c r="E503" s="24"/>
      <c r="F503" s="23">
        <v>1.8</v>
      </c>
      <c r="G503" s="79">
        <v>12.042000000000002</v>
      </c>
      <c r="H503" s="26"/>
      <c r="I503" s="26"/>
      <c r="J503" s="26">
        <v>12.042000000000002</v>
      </c>
      <c r="K503" s="26"/>
    </row>
    <row r="504" spans="1:12" x14ac:dyDescent="0.25">
      <c r="A504" s="82" t="s">
        <v>144</v>
      </c>
      <c r="B504" s="22" t="s">
        <v>255</v>
      </c>
      <c r="C504" s="23">
        <v>1</v>
      </c>
      <c r="D504" s="23">
        <v>13.63</v>
      </c>
      <c r="E504" s="24"/>
      <c r="F504" s="23">
        <v>1.8</v>
      </c>
      <c r="G504" s="79">
        <v>24.534000000000002</v>
      </c>
      <c r="H504" s="26"/>
      <c r="I504" s="26"/>
      <c r="J504" s="26">
        <v>24.534000000000002</v>
      </c>
      <c r="K504" s="26"/>
    </row>
    <row r="505" spans="1:12" x14ac:dyDescent="0.25">
      <c r="A505" s="82" t="s">
        <v>144</v>
      </c>
      <c r="B505" s="22" t="s">
        <v>256</v>
      </c>
      <c r="C505" s="23">
        <v>1</v>
      </c>
      <c r="D505" s="23">
        <v>13.63</v>
      </c>
      <c r="E505" s="24"/>
      <c r="F505" s="23">
        <v>1.8</v>
      </c>
      <c r="G505" s="79">
        <v>24.534000000000002</v>
      </c>
      <c r="H505" s="26"/>
      <c r="I505" s="26"/>
      <c r="J505" s="26">
        <v>24.534000000000002</v>
      </c>
      <c r="K505" s="26"/>
    </row>
    <row r="506" spans="1:12" x14ac:dyDescent="0.25">
      <c r="A506" s="82" t="s">
        <v>144</v>
      </c>
      <c r="B506" s="22" t="s">
        <v>257</v>
      </c>
      <c r="C506" s="23">
        <v>1</v>
      </c>
      <c r="D506" s="23">
        <v>6.69</v>
      </c>
      <c r="E506" s="24"/>
      <c r="F506" s="23">
        <v>1.8</v>
      </c>
      <c r="G506" s="79">
        <v>12.042000000000002</v>
      </c>
      <c r="H506" s="26"/>
      <c r="I506" s="26"/>
      <c r="J506" s="26">
        <v>12.042000000000002</v>
      </c>
      <c r="K506" s="26"/>
    </row>
    <row r="507" spans="1:12" x14ac:dyDescent="0.25">
      <c r="A507" s="82" t="s">
        <v>144</v>
      </c>
      <c r="B507" s="22" t="s">
        <v>258</v>
      </c>
      <c r="C507" s="23">
        <v>-1</v>
      </c>
      <c r="D507" s="23">
        <v>1.8</v>
      </c>
      <c r="E507" s="24"/>
      <c r="F507" s="23">
        <v>0.49</v>
      </c>
      <c r="G507" s="79">
        <v>0.88200000000000001</v>
      </c>
      <c r="H507" s="26"/>
      <c r="I507" s="26"/>
      <c r="J507" s="26">
        <v>-0.88200000000000001</v>
      </c>
      <c r="K507" s="26"/>
    </row>
    <row r="508" spans="1:12" x14ac:dyDescent="0.25">
      <c r="A508" s="82" t="s">
        <v>144</v>
      </c>
      <c r="B508" s="22" t="s">
        <v>259</v>
      </c>
      <c r="C508" s="23">
        <v>-1</v>
      </c>
      <c r="D508" s="23">
        <v>1.9</v>
      </c>
      <c r="E508" s="24"/>
      <c r="F508" s="23">
        <v>0.49</v>
      </c>
      <c r="G508" s="79">
        <v>0.93099999999999994</v>
      </c>
      <c r="H508" s="26"/>
      <c r="I508" s="26"/>
      <c r="J508" s="26">
        <v>-0.93099999999999994</v>
      </c>
      <c r="K508" s="26"/>
    </row>
    <row r="509" spans="1:12" x14ac:dyDescent="0.25">
      <c r="A509" s="27"/>
      <c r="B509" s="28"/>
      <c r="C509" s="28"/>
      <c r="D509" s="28"/>
      <c r="E509" s="28"/>
      <c r="F509" s="272" t="s">
        <v>36</v>
      </c>
      <c r="G509" s="272"/>
      <c r="H509" s="272"/>
      <c r="I509" s="29"/>
      <c r="J509" s="29">
        <v>120.41</v>
      </c>
      <c r="K509" s="29"/>
    </row>
    <row r="510" spans="1:12" x14ac:dyDescent="0.25">
      <c r="A510" s="82"/>
      <c r="B510" s="273"/>
      <c r="C510" s="273"/>
      <c r="D510" s="273"/>
      <c r="E510" s="273"/>
      <c r="F510" s="273"/>
      <c r="G510" s="273"/>
      <c r="H510" s="273"/>
      <c r="I510" s="273"/>
      <c r="J510" s="273"/>
      <c r="K510" s="82"/>
    </row>
    <row r="511" spans="1:12" x14ac:dyDescent="0.25">
      <c r="A511" s="19" t="str">
        <f>'Lista de Serviços'!A218</f>
        <v>04.01.554</v>
      </c>
      <c r="B511" s="274" t="str">
        <f>'Lista de Serviços'!B219</f>
        <v>FORRO EM DRYWALL, PARA AMBIENTES COMERCIAIS, INCLUSIVE ESTRUTURA DE FIXAÇÃO. AF_05/2017_P</v>
      </c>
      <c r="C511" s="274"/>
      <c r="D511" s="274"/>
      <c r="E511" s="274"/>
      <c r="F511" s="274"/>
      <c r="G511" s="274"/>
      <c r="H511" s="274"/>
      <c r="I511" s="274"/>
      <c r="J511" s="274"/>
      <c r="K511" s="20"/>
      <c r="L511" s="18" t="s">
        <v>1412</v>
      </c>
    </row>
    <row r="512" spans="1:12" x14ac:dyDescent="0.25">
      <c r="A512" s="275"/>
      <c r="B512" s="275"/>
      <c r="C512" s="21"/>
      <c r="D512" s="21"/>
      <c r="E512" s="21"/>
      <c r="F512" s="21"/>
      <c r="G512" s="275" t="s">
        <v>23</v>
      </c>
      <c r="H512" s="275"/>
      <c r="I512" s="275" t="s">
        <v>24</v>
      </c>
      <c r="J512" s="275"/>
      <c r="K512" s="275"/>
    </row>
    <row r="513" spans="1:12" x14ac:dyDescent="0.25">
      <c r="A513" s="275" t="s">
        <v>25</v>
      </c>
      <c r="B513" s="275"/>
      <c r="C513" s="275" t="s">
        <v>26</v>
      </c>
      <c r="D513" s="275" t="s">
        <v>27</v>
      </c>
      <c r="E513" s="275" t="s">
        <v>28</v>
      </c>
      <c r="F513" s="275" t="s">
        <v>29</v>
      </c>
      <c r="G513" s="82" t="s">
        <v>30</v>
      </c>
      <c r="H513" s="82" t="s">
        <v>31</v>
      </c>
      <c r="I513" s="82" t="s">
        <v>32</v>
      </c>
      <c r="J513" s="82" t="s">
        <v>30</v>
      </c>
      <c r="K513" s="82" t="s">
        <v>31</v>
      </c>
    </row>
    <row r="514" spans="1:12" x14ac:dyDescent="0.25">
      <c r="A514" s="275"/>
      <c r="B514" s="275"/>
      <c r="C514" s="275"/>
      <c r="D514" s="275"/>
      <c r="E514" s="275"/>
      <c r="F514" s="275"/>
      <c r="G514" s="82" t="s">
        <v>33</v>
      </c>
      <c r="H514" s="82" t="s">
        <v>34</v>
      </c>
      <c r="I514" s="82" t="s">
        <v>35</v>
      </c>
      <c r="J514" s="82" t="s">
        <v>33</v>
      </c>
      <c r="K514" s="82" t="s">
        <v>34</v>
      </c>
    </row>
    <row r="515" spans="1:12" x14ac:dyDescent="0.25">
      <c r="A515" s="82" t="s">
        <v>141</v>
      </c>
      <c r="B515" s="22" t="s">
        <v>262</v>
      </c>
      <c r="C515" s="23">
        <v>1</v>
      </c>
      <c r="D515" s="23"/>
      <c r="E515" s="24"/>
      <c r="F515" s="23"/>
      <c r="G515" s="79">
        <v>18.68</v>
      </c>
      <c r="H515" s="26"/>
      <c r="I515" s="26"/>
      <c r="J515" s="26">
        <v>18.68</v>
      </c>
      <c r="K515" s="26"/>
    </row>
    <row r="516" spans="1:12" x14ac:dyDescent="0.25">
      <c r="A516" s="82" t="s">
        <v>144</v>
      </c>
      <c r="B516" s="22" t="s">
        <v>262</v>
      </c>
      <c r="C516" s="23">
        <v>1</v>
      </c>
      <c r="D516" s="23"/>
      <c r="E516" s="24"/>
      <c r="F516" s="23"/>
      <c r="G516" s="79">
        <v>18.68</v>
      </c>
      <c r="H516" s="26"/>
      <c r="I516" s="26"/>
      <c r="J516" s="26">
        <v>18.68</v>
      </c>
      <c r="K516" s="26"/>
    </row>
    <row r="517" spans="1:12" x14ac:dyDescent="0.25">
      <c r="A517" s="27"/>
      <c r="B517" s="28"/>
      <c r="C517" s="28"/>
      <c r="D517" s="28"/>
      <c r="E517" s="28"/>
      <c r="F517" s="272" t="s">
        <v>36</v>
      </c>
      <c r="G517" s="272"/>
      <c r="H517" s="272"/>
      <c r="I517" s="29"/>
      <c r="J517" s="29">
        <v>37.36</v>
      </c>
      <c r="K517" s="29"/>
    </row>
    <row r="518" spans="1:12" x14ac:dyDescent="0.25">
      <c r="A518" s="82"/>
      <c r="B518" s="273"/>
      <c r="C518" s="273"/>
      <c r="D518" s="273"/>
      <c r="E518" s="273"/>
      <c r="F518" s="273"/>
      <c r="G518" s="273"/>
      <c r="H518" s="273"/>
      <c r="I518" s="273"/>
      <c r="J518" s="273"/>
      <c r="K518" s="82"/>
    </row>
    <row r="519" spans="1:12" x14ac:dyDescent="0.25">
      <c r="A519" s="19" t="str">
        <f>'Lista de Serviços'!A220</f>
        <v>04.01.555</v>
      </c>
      <c r="B519" s="274" t="str">
        <f>'Lista de Serviços'!B221</f>
        <v>FORRO REMOVÍVEL EM PLACAS DE DRYWALL COM PELÍCULA DE PVC, 625X625MM</v>
      </c>
      <c r="C519" s="274"/>
      <c r="D519" s="274"/>
      <c r="E519" s="274"/>
      <c r="F519" s="274"/>
      <c r="G519" s="274"/>
      <c r="H519" s="274"/>
      <c r="I519" s="274"/>
      <c r="J519" s="274"/>
      <c r="K519" s="20"/>
      <c r="L519" s="18" t="s">
        <v>1412</v>
      </c>
    </row>
    <row r="520" spans="1:12" x14ac:dyDescent="0.25">
      <c r="A520" s="275"/>
      <c r="B520" s="275"/>
      <c r="C520" s="21"/>
      <c r="D520" s="21"/>
      <c r="E520" s="21"/>
      <c r="F520" s="21"/>
      <c r="G520" s="275" t="s">
        <v>23</v>
      </c>
      <c r="H520" s="275"/>
      <c r="I520" s="275" t="s">
        <v>24</v>
      </c>
      <c r="J520" s="275"/>
      <c r="K520" s="275"/>
    </row>
    <row r="521" spans="1:12" x14ac:dyDescent="0.25">
      <c r="A521" s="275" t="s">
        <v>25</v>
      </c>
      <c r="B521" s="275"/>
      <c r="C521" s="275" t="s">
        <v>26</v>
      </c>
      <c r="D521" s="275" t="s">
        <v>27</v>
      </c>
      <c r="E521" s="275" t="s">
        <v>28</v>
      </c>
      <c r="F521" s="275" t="s">
        <v>29</v>
      </c>
      <c r="G521" s="82" t="s">
        <v>30</v>
      </c>
      <c r="H521" s="82" t="s">
        <v>31</v>
      </c>
      <c r="I521" s="82" t="s">
        <v>32</v>
      </c>
      <c r="J521" s="82" t="s">
        <v>30</v>
      </c>
      <c r="K521" s="82" t="s">
        <v>31</v>
      </c>
    </row>
    <row r="522" spans="1:12" x14ac:dyDescent="0.25">
      <c r="A522" s="275"/>
      <c r="B522" s="275"/>
      <c r="C522" s="275"/>
      <c r="D522" s="275"/>
      <c r="E522" s="275"/>
      <c r="F522" s="275"/>
      <c r="G522" s="82" t="s">
        <v>33</v>
      </c>
      <c r="H522" s="82" t="s">
        <v>34</v>
      </c>
      <c r="I522" s="82" t="s">
        <v>35</v>
      </c>
      <c r="J522" s="82" t="s">
        <v>33</v>
      </c>
      <c r="K522" s="82" t="s">
        <v>34</v>
      </c>
    </row>
    <row r="523" spans="1:12" x14ac:dyDescent="0.25">
      <c r="A523" s="82" t="s">
        <v>141</v>
      </c>
      <c r="B523" s="22" t="s">
        <v>262</v>
      </c>
      <c r="C523" s="23">
        <v>1</v>
      </c>
      <c r="D523" s="23"/>
      <c r="E523" s="24"/>
      <c r="F523" s="23"/>
      <c r="G523" s="79">
        <v>515.49</v>
      </c>
      <c r="H523" s="26"/>
      <c r="I523" s="26"/>
      <c r="J523" s="26">
        <v>515.49</v>
      </c>
      <c r="K523" s="26"/>
    </row>
    <row r="524" spans="1:12" x14ac:dyDescent="0.25">
      <c r="A524" s="82" t="s">
        <v>141</v>
      </c>
      <c r="B524" s="22" t="s">
        <v>263</v>
      </c>
      <c r="C524" s="23">
        <v>-165</v>
      </c>
      <c r="D524" s="23">
        <v>0.6</v>
      </c>
      <c r="E524" s="24">
        <v>0.3</v>
      </c>
      <c r="F524" s="23"/>
      <c r="G524" s="79">
        <v>0.18</v>
      </c>
      <c r="H524" s="26"/>
      <c r="I524" s="26"/>
      <c r="J524" s="26">
        <v>-29.7</v>
      </c>
      <c r="K524" s="26"/>
    </row>
    <row r="525" spans="1:12" x14ac:dyDescent="0.25">
      <c r="A525" s="82" t="s">
        <v>144</v>
      </c>
      <c r="B525" s="22" t="s">
        <v>262</v>
      </c>
      <c r="C525" s="23">
        <v>1</v>
      </c>
      <c r="D525" s="23"/>
      <c r="E525" s="24"/>
      <c r="F525" s="23"/>
      <c r="G525" s="79">
        <v>586.63</v>
      </c>
      <c r="H525" s="26"/>
      <c r="I525" s="26"/>
      <c r="J525" s="26">
        <v>586.63</v>
      </c>
      <c r="K525" s="26"/>
    </row>
    <row r="526" spans="1:12" x14ac:dyDescent="0.25">
      <c r="A526" s="82" t="s">
        <v>144</v>
      </c>
      <c r="B526" s="22" t="s">
        <v>263</v>
      </c>
      <c r="C526" s="23">
        <v>-152</v>
      </c>
      <c r="D526" s="23">
        <v>0.6</v>
      </c>
      <c r="E526" s="24">
        <v>0.3</v>
      </c>
      <c r="F526" s="23"/>
      <c r="G526" s="79">
        <v>0.18</v>
      </c>
      <c r="H526" s="26"/>
      <c r="I526" s="26"/>
      <c r="J526" s="26">
        <v>-27.36</v>
      </c>
      <c r="K526" s="26"/>
    </row>
    <row r="527" spans="1:12" x14ac:dyDescent="0.25">
      <c r="A527" s="27"/>
      <c r="B527" s="28"/>
      <c r="C527" s="28"/>
      <c r="D527" s="28"/>
      <c r="E527" s="28"/>
      <c r="F527" s="272" t="s">
        <v>36</v>
      </c>
      <c r="G527" s="272"/>
      <c r="H527" s="272"/>
      <c r="I527" s="29"/>
      <c r="J527" s="29">
        <v>1045.06</v>
      </c>
      <c r="K527" s="29"/>
    </row>
    <row r="528" spans="1:12" x14ac:dyDescent="0.25">
      <c r="A528" s="82"/>
      <c r="B528" s="273"/>
      <c r="C528" s="273"/>
      <c r="D528" s="273"/>
      <c r="E528" s="273"/>
      <c r="F528" s="273"/>
      <c r="G528" s="273"/>
      <c r="H528" s="273"/>
      <c r="I528" s="273"/>
      <c r="J528" s="273"/>
      <c r="K528" s="82"/>
    </row>
    <row r="529" spans="1:12" x14ac:dyDescent="0.25">
      <c r="A529" s="19" t="s">
        <v>260</v>
      </c>
      <c r="B529" s="274" t="s">
        <v>261</v>
      </c>
      <c r="C529" s="274"/>
      <c r="D529" s="274"/>
      <c r="E529" s="274"/>
      <c r="F529" s="274"/>
      <c r="G529" s="274"/>
      <c r="H529" s="274"/>
      <c r="I529" s="274"/>
      <c r="J529" s="274"/>
      <c r="K529" s="20"/>
      <c r="L529" s="18" t="s">
        <v>1412</v>
      </c>
    </row>
    <row r="530" spans="1:12" x14ac:dyDescent="0.25">
      <c r="A530" s="275"/>
      <c r="B530" s="275"/>
      <c r="C530" s="21"/>
      <c r="D530" s="21"/>
      <c r="E530" s="21"/>
      <c r="F530" s="21"/>
      <c r="G530" s="275" t="s">
        <v>23</v>
      </c>
      <c r="H530" s="275"/>
      <c r="I530" s="275" t="s">
        <v>24</v>
      </c>
      <c r="J530" s="275"/>
      <c r="K530" s="275"/>
    </row>
    <row r="531" spans="1:12" x14ac:dyDescent="0.25">
      <c r="A531" s="275" t="s">
        <v>25</v>
      </c>
      <c r="B531" s="275"/>
      <c r="C531" s="275" t="s">
        <v>26</v>
      </c>
      <c r="D531" s="275" t="s">
        <v>27</v>
      </c>
      <c r="E531" s="275" t="s">
        <v>28</v>
      </c>
      <c r="F531" s="275" t="s">
        <v>29</v>
      </c>
      <c r="G531" s="82" t="s">
        <v>30</v>
      </c>
      <c r="H531" s="82" t="s">
        <v>31</v>
      </c>
      <c r="I531" s="82" t="s">
        <v>32</v>
      </c>
      <c r="J531" s="82" t="s">
        <v>30</v>
      </c>
      <c r="K531" s="82" t="s">
        <v>31</v>
      </c>
    </row>
    <row r="532" spans="1:12" x14ac:dyDescent="0.25">
      <c r="A532" s="275"/>
      <c r="B532" s="275"/>
      <c r="C532" s="275"/>
      <c r="D532" s="275"/>
      <c r="E532" s="275"/>
      <c r="F532" s="275"/>
      <c r="G532" s="82" t="s">
        <v>33</v>
      </c>
      <c r="H532" s="82" t="s">
        <v>34</v>
      </c>
      <c r="I532" s="82" t="s">
        <v>35</v>
      </c>
      <c r="J532" s="82" t="s">
        <v>33</v>
      </c>
      <c r="K532" s="82" t="s">
        <v>34</v>
      </c>
    </row>
    <row r="533" spans="1:12" x14ac:dyDescent="0.25">
      <c r="A533" s="82" t="s">
        <v>141</v>
      </c>
      <c r="B533" s="22" t="s">
        <v>255</v>
      </c>
      <c r="C533" s="23">
        <v>1</v>
      </c>
      <c r="D533" s="23">
        <v>13.63</v>
      </c>
      <c r="E533" s="24"/>
      <c r="F533" s="23">
        <v>1.3</v>
      </c>
      <c r="G533" s="79">
        <v>17.719000000000001</v>
      </c>
      <c r="H533" s="26"/>
      <c r="I533" s="26"/>
      <c r="J533" s="26">
        <v>17.719000000000001</v>
      </c>
      <c r="K533" s="26"/>
    </row>
    <row r="534" spans="1:12" x14ac:dyDescent="0.25">
      <c r="A534" s="82" t="s">
        <v>141</v>
      </c>
      <c r="B534" s="22" t="s">
        <v>256</v>
      </c>
      <c r="C534" s="23">
        <v>1</v>
      </c>
      <c r="D534" s="23">
        <v>13.63</v>
      </c>
      <c r="E534" s="24"/>
      <c r="F534" s="23">
        <v>1.3</v>
      </c>
      <c r="G534" s="79">
        <v>17.719000000000001</v>
      </c>
      <c r="H534" s="26"/>
      <c r="I534" s="26"/>
      <c r="J534" s="26">
        <v>17.719000000000001</v>
      </c>
      <c r="K534" s="26"/>
    </row>
    <row r="535" spans="1:12" x14ac:dyDescent="0.25">
      <c r="A535" s="82" t="s">
        <v>141</v>
      </c>
      <c r="B535" s="22" t="s">
        <v>257</v>
      </c>
      <c r="C535" s="23">
        <v>1</v>
      </c>
      <c r="D535" s="23">
        <v>6.69</v>
      </c>
      <c r="E535" s="24"/>
      <c r="F535" s="23">
        <v>1.3</v>
      </c>
      <c r="G535" s="79">
        <v>8.697000000000001</v>
      </c>
      <c r="H535" s="26"/>
      <c r="I535" s="26"/>
      <c r="J535" s="26">
        <v>8.697000000000001</v>
      </c>
      <c r="K535" s="26"/>
    </row>
    <row r="536" spans="1:12" x14ac:dyDescent="0.25">
      <c r="A536" s="82" t="s">
        <v>144</v>
      </c>
      <c r="B536" s="22" t="s">
        <v>258</v>
      </c>
      <c r="C536" s="23">
        <v>-1</v>
      </c>
      <c r="D536" s="23">
        <v>1.8</v>
      </c>
      <c r="E536" s="24"/>
      <c r="F536" s="23">
        <v>1</v>
      </c>
      <c r="G536" s="79">
        <v>1.8</v>
      </c>
      <c r="H536" s="26"/>
      <c r="I536" s="26"/>
      <c r="J536" s="26">
        <v>-1.8</v>
      </c>
      <c r="K536" s="26"/>
    </row>
    <row r="537" spans="1:12" x14ac:dyDescent="0.25">
      <c r="A537" s="82" t="s">
        <v>144</v>
      </c>
      <c r="B537" s="22" t="s">
        <v>259</v>
      </c>
      <c r="C537" s="23">
        <v>-1</v>
      </c>
      <c r="D537" s="23">
        <v>1.9</v>
      </c>
      <c r="E537" s="24"/>
      <c r="F537" s="23">
        <v>1</v>
      </c>
      <c r="G537" s="79">
        <v>1.9</v>
      </c>
      <c r="H537" s="26"/>
      <c r="I537" s="26"/>
      <c r="J537" s="26">
        <v>-1.9</v>
      </c>
      <c r="K537" s="26"/>
    </row>
    <row r="538" spans="1:12" x14ac:dyDescent="0.25">
      <c r="A538" s="82" t="s">
        <v>144</v>
      </c>
      <c r="B538" s="22" t="s">
        <v>255</v>
      </c>
      <c r="C538" s="23">
        <v>1</v>
      </c>
      <c r="D538" s="23">
        <v>13.63</v>
      </c>
      <c r="E538" s="24"/>
      <c r="F538" s="23">
        <v>1.2</v>
      </c>
      <c r="G538" s="79">
        <v>16.356000000000002</v>
      </c>
      <c r="H538" s="26"/>
      <c r="I538" s="26"/>
      <c r="J538" s="26">
        <v>16.356000000000002</v>
      </c>
      <c r="K538" s="26"/>
    </row>
    <row r="539" spans="1:12" x14ac:dyDescent="0.25">
      <c r="A539" s="82" t="s">
        <v>144</v>
      </c>
      <c r="B539" s="22" t="s">
        <v>256</v>
      </c>
      <c r="C539" s="23">
        <v>1</v>
      </c>
      <c r="D539" s="23">
        <v>13.63</v>
      </c>
      <c r="E539" s="24"/>
      <c r="F539" s="23">
        <v>1.2</v>
      </c>
      <c r="G539" s="79">
        <v>16.356000000000002</v>
      </c>
      <c r="H539" s="26"/>
      <c r="I539" s="26"/>
      <c r="J539" s="26">
        <v>16.356000000000002</v>
      </c>
      <c r="K539" s="26"/>
    </row>
    <row r="540" spans="1:12" x14ac:dyDescent="0.25">
      <c r="A540" s="82" t="s">
        <v>144</v>
      </c>
      <c r="B540" s="22" t="s">
        <v>257</v>
      </c>
      <c r="C540" s="23">
        <v>1</v>
      </c>
      <c r="D540" s="23">
        <v>6.69</v>
      </c>
      <c r="E540" s="24"/>
      <c r="F540" s="23">
        <v>1.2</v>
      </c>
      <c r="G540" s="79">
        <v>8.0280000000000005</v>
      </c>
      <c r="H540" s="26"/>
      <c r="I540" s="26"/>
      <c r="J540" s="26">
        <v>8.0280000000000005</v>
      </c>
      <c r="K540" s="26"/>
    </row>
    <row r="541" spans="1:12" x14ac:dyDescent="0.25">
      <c r="A541" s="82" t="s">
        <v>144</v>
      </c>
      <c r="B541" s="22" t="s">
        <v>258</v>
      </c>
      <c r="C541" s="23">
        <v>-1</v>
      </c>
      <c r="D541" s="23">
        <v>1.8</v>
      </c>
      <c r="E541" s="24"/>
      <c r="F541" s="23">
        <v>1.1000000000000001</v>
      </c>
      <c r="G541" s="79">
        <v>1.9800000000000002</v>
      </c>
      <c r="H541" s="26"/>
      <c r="I541" s="26"/>
      <c r="J541" s="26">
        <v>-1.9800000000000002</v>
      </c>
      <c r="K541" s="26"/>
    </row>
    <row r="542" spans="1:12" x14ac:dyDescent="0.25">
      <c r="A542" s="82" t="s">
        <v>144</v>
      </c>
      <c r="B542" s="22" t="s">
        <v>259</v>
      </c>
      <c r="C542" s="23">
        <v>-1</v>
      </c>
      <c r="D542" s="23">
        <v>1.9</v>
      </c>
      <c r="E542" s="24"/>
      <c r="F542" s="23">
        <v>1.1000000000000001</v>
      </c>
      <c r="G542" s="79">
        <v>2.09</v>
      </c>
      <c r="H542" s="26"/>
      <c r="I542" s="26"/>
      <c r="J542" s="26">
        <v>-2.09</v>
      </c>
      <c r="K542" s="26"/>
    </row>
    <row r="543" spans="1:12" x14ac:dyDescent="0.25">
      <c r="A543" s="27"/>
      <c r="B543" s="28"/>
      <c r="C543" s="28"/>
      <c r="D543" s="28"/>
      <c r="E543" s="28"/>
      <c r="F543" s="272" t="s">
        <v>36</v>
      </c>
      <c r="G543" s="272"/>
      <c r="H543" s="272"/>
      <c r="I543" s="29"/>
      <c r="J543" s="29">
        <v>77.11</v>
      </c>
      <c r="K543" s="29"/>
    </row>
    <row r="545" spans="1:12" ht="25.5" customHeight="1" x14ac:dyDescent="0.25">
      <c r="A545" s="19" t="str">
        <f>'Lista de Serviços'!A229</f>
        <v>04.01.564</v>
      </c>
      <c r="B545" s="274" t="str">
        <f>'Lista de Serviços'!B230</f>
        <v>PINTURA COM TINTA ALQUÍDICA DE ACABAMENTO (ESMALTE SINTÉTICO BRILHANTE) APLICADA A ROLO OU PINCEL SOBRE SUPERFÍCIES METÁLICAS (EXCETO PERFIL) EXECUTADO EM OBRA (02 DEMÃOS). AF_01/2020</v>
      </c>
      <c r="C545" s="274"/>
      <c r="D545" s="274"/>
      <c r="E545" s="274"/>
      <c r="F545" s="274"/>
      <c r="G545" s="274"/>
      <c r="H545" s="274"/>
      <c r="I545" s="274"/>
      <c r="J545" s="274"/>
      <c r="K545" s="20"/>
      <c r="L545" s="18" t="s">
        <v>1412</v>
      </c>
    </row>
    <row r="546" spans="1:12" x14ac:dyDescent="0.25">
      <c r="A546" s="275"/>
      <c r="B546" s="275"/>
      <c r="C546" s="21"/>
      <c r="D546" s="21"/>
      <c r="E546" s="21"/>
      <c r="F546" s="21"/>
      <c r="G546" s="275" t="s">
        <v>23</v>
      </c>
      <c r="H546" s="275"/>
      <c r="I546" s="275" t="s">
        <v>24</v>
      </c>
      <c r="J546" s="275"/>
      <c r="K546" s="275"/>
    </row>
    <row r="547" spans="1:12" x14ac:dyDescent="0.25">
      <c r="A547" s="275" t="s">
        <v>25</v>
      </c>
      <c r="B547" s="275"/>
      <c r="C547" s="275" t="s">
        <v>26</v>
      </c>
      <c r="D547" s="275" t="s">
        <v>27</v>
      </c>
      <c r="E547" s="275" t="s">
        <v>28</v>
      </c>
      <c r="F547" s="275" t="s">
        <v>29</v>
      </c>
      <c r="G547" s="125" t="s">
        <v>30</v>
      </c>
      <c r="H547" s="125" t="s">
        <v>31</v>
      </c>
      <c r="I547" s="125" t="s">
        <v>32</v>
      </c>
      <c r="J547" s="125" t="s">
        <v>30</v>
      </c>
      <c r="K547" s="125" t="s">
        <v>31</v>
      </c>
    </row>
    <row r="548" spans="1:12" x14ac:dyDescent="0.25">
      <c r="A548" s="275"/>
      <c r="B548" s="275"/>
      <c r="C548" s="275"/>
      <c r="D548" s="275"/>
      <c r="E548" s="275"/>
      <c r="F548" s="275"/>
      <c r="G548" s="125" t="s">
        <v>33</v>
      </c>
      <c r="H548" s="125" t="s">
        <v>34</v>
      </c>
      <c r="I548" s="125" t="s">
        <v>35</v>
      </c>
      <c r="J548" s="125" t="s">
        <v>33</v>
      </c>
      <c r="K548" s="125" t="s">
        <v>34</v>
      </c>
    </row>
    <row r="549" spans="1:12" x14ac:dyDescent="0.25">
      <c r="A549" s="125"/>
      <c r="B549" s="22" t="s">
        <v>733</v>
      </c>
      <c r="C549" s="23">
        <v>329.52</v>
      </c>
      <c r="D549" s="23">
        <v>1</v>
      </c>
      <c r="E549" s="24">
        <v>0.16</v>
      </c>
      <c r="F549" s="23"/>
      <c r="G549" s="79">
        <v>0.16</v>
      </c>
      <c r="H549" s="26"/>
      <c r="I549" s="26"/>
      <c r="J549" s="26">
        <v>52.723199999999999</v>
      </c>
      <c r="K549" s="26"/>
    </row>
    <row r="550" spans="1:12" x14ac:dyDescent="0.25">
      <c r="A550" s="125"/>
      <c r="B550" s="22" t="s">
        <v>734</v>
      </c>
      <c r="C550" s="23">
        <v>503.92</v>
      </c>
      <c r="D550" s="23">
        <v>1</v>
      </c>
      <c r="E550" s="24">
        <v>0.31</v>
      </c>
      <c r="F550" s="23"/>
      <c r="G550" s="79">
        <v>0.31</v>
      </c>
      <c r="H550" s="26"/>
      <c r="I550" s="26"/>
      <c r="J550" s="26">
        <v>156.21520000000001</v>
      </c>
      <c r="K550" s="26"/>
    </row>
    <row r="551" spans="1:12" x14ac:dyDescent="0.25">
      <c r="A551" s="125"/>
      <c r="B551" s="22" t="s">
        <v>735</v>
      </c>
      <c r="C551" s="23">
        <v>28.96</v>
      </c>
      <c r="D551" s="23">
        <v>1</v>
      </c>
      <c r="E551" s="24">
        <v>0.15000000000000002</v>
      </c>
      <c r="F551" s="23"/>
      <c r="G551" s="79">
        <v>0.15000000000000002</v>
      </c>
      <c r="H551" s="26"/>
      <c r="I551" s="26"/>
      <c r="J551" s="26">
        <v>4.3440000000000012</v>
      </c>
      <c r="K551" s="26"/>
    </row>
    <row r="552" spans="1:12" x14ac:dyDescent="0.25">
      <c r="A552" s="125"/>
      <c r="B552" s="22" t="s">
        <v>736</v>
      </c>
      <c r="C552" s="23">
        <v>222</v>
      </c>
      <c r="D552" s="23">
        <v>0.12</v>
      </c>
      <c r="E552" s="24">
        <v>0.08</v>
      </c>
      <c r="F552" s="23"/>
      <c r="G552" s="79">
        <v>9.5999999999999992E-3</v>
      </c>
      <c r="H552" s="26"/>
      <c r="I552" s="26"/>
      <c r="J552" s="26">
        <v>2.1311999999999998</v>
      </c>
      <c r="K552" s="26"/>
    </row>
    <row r="553" spans="1:12" x14ac:dyDescent="0.25">
      <c r="A553" s="27"/>
      <c r="B553" s="28"/>
      <c r="C553" s="28"/>
      <c r="D553" s="28"/>
      <c r="E553" s="28"/>
      <c r="F553" s="272" t="s">
        <v>36</v>
      </c>
      <c r="G553" s="272"/>
      <c r="H553" s="272"/>
      <c r="I553" s="29"/>
      <c r="J553" s="29">
        <v>215.41</v>
      </c>
      <c r="K553" s="29"/>
    </row>
    <row r="555" spans="1:12" x14ac:dyDescent="0.25">
      <c r="A555" s="19" t="str">
        <f>'Lista de Serviços'!A231</f>
        <v>04.01.565</v>
      </c>
      <c r="B555" s="274" t="str">
        <f>'Lista de Serviços'!B232</f>
        <v>PINTURA HIDROFUGANTE COM SILICONE SOBRE PEÇAS DE GRANITO, UMA DEMAO</v>
      </c>
      <c r="C555" s="274"/>
      <c r="D555" s="274"/>
      <c r="E555" s="274"/>
      <c r="F555" s="274"/>
      <c r="G555" s="274"/>
      <c r="H555" s="274"/>
      <c r="I555" s="274"/>
      <c r="J555" s="274"/>
      <c r="K555" s="20"/>
      <c r="L555" s="18" t="s">
        <v>1412</v>
      </c>
    </row>
    <row r="556" spans="1:12" x14ac:dyDescent="0.25">
      <c r="A556" s="275"/>
      <c r="B556" s="275"/>
      <c r="C556" s="21"/>
      <c r="D556" s="21"/>
      <c r="E556" s="21"/>
      <c r="F556" s="21"/>
      <c r="G556" s="275" t="s">
        <v>23</v>
      </c>
      <c r="H556" s="275"/>
      <c r="I556" s="275" t="s">
        <v>24</v>
      </c>
      <c r="J556" s="275"/>
      <c r="K556" s="275"/>
    </row>
    <row r="557" spans="1:12" x14ac:dyDescent="0.25">
      <c r="A557" s="275" t="s">
        <v>25</v>
      </c>
      <c r="B557" s="275"/>
      <c r="C557" s="275" t="s">
        <v>26</v>
      </c>
      <c r="D557" s="275" t="s">
        <v>27</v>
      </c>
      <c r="E557" s="275" t="s">
        <v>28</v>
      </c>
      <c r="F557" s="275" t="s">
        <v>29</v>
      </c>
      <c r="G557" s="134" t="s">
        <v>30</v>
      </c>
      <c r="H557" s="134" t="s">
        <v>31</v>
      </c>
      <c r="I557" s="134" t="s">
        <v>32</v>
      </c>
      <c r="J557" s="134" t="s">
        <v>30</v>
      </c>
      <c r="K557" s="134" t="s">
        <v>31</v>
      </c>
    </row>
    <row r="558" spans="1:12" x14ac:dyDescent="0.25">
      <c r="A558" s="275"/>
      <c r="B558" s="275"/>
      <c r="C558" s="275"/>
      <c r="D558" s="275"/>
      <c r="E558" s="275"/>
      <c r="F558" s="275"/>
      <c r="G558" s="134" t="s">
        <v>33</v>
      </c>
      <c r="H558" s="134" t="s">
        <v>34</v>
      </c>
      <c r="I558" s="134" t="s">
        <v>35</v>
      </c>
      <c r="J558" s="134" t="s">
        <v>33</v>
      </c>
      <c r="K558" s="134" t="s">
        <v>34</v>
      </c>
    </row>
    <row r="559" spans="1:12" x14ac:dyDescent="0.25">
      <c r="A559" s="134"/>
      <c r="B559" s="22" t="s">
        <v>854</v>
      </c>
      <c r="C559" s="23">
        <v>2</v>
      </c>
      <c r="D559" s="23"/>
      <c r="E559" s="24"/>
      <c r="F559" s="23"/>
      <c r="G559" s="79">
        <v>1.6240000000000001</v>
      </c>
      <c r="H559" s="26"/>
      <c r="I559" s="26"/>
      <c r="J559" s="26">
        <v>3.2480000000000002</v>
      </c>
      <c r="K559" s="26"/>
    </row>
    <row r="560" spans="1:12" x14ac:dyDescent="0.25">
      <c r="A560" s="134"/>
      <c r="B560" s="22" t="s">
        <v>855</v>
      </c>
      <c r="C560" s="23">
        <v>2</v>
      </c>
      <c r="D560" s="23"/>
      <c r="E560" s="24"/>
      <c r="F560" s="23"/>
      <c r="G560" s="79">
        <v>1.6240000000000001</v>
      </c>
      <c r="H560" s="26"/>
      <c r="I560" s="26"/>
      <c r="J560" s="26">
        <v>3.2480000000000002</v>
      </c>
      <c r="K560" s="26"/>
    </row>
    <row r="561" spans="1:12" x14ac:dyDescent="0.25">
      <c r="A561" s="134"/>
      <c r="B561" s="22" t="s">
        <v>856</v>
      </c>
      <c r="C561" s="23">
        <v>4</v>
      </c>
      <c r="D561" s="23"/>
      <c r="E561" s="24"/>
      <c r="F561" s="23"/>
      <c r="G561" s="79">
        <v>0.16830000000000001</v>
      </c>
      <c r="H561" s="26"/>
      <c r="I561" s="26"/>
      <c r="J561" s="26">
        <v>0.67320000000000002</v>
      </c>
      <c r="K561" s="26"/>
    </row>
    <row r="562" spans="1:12" x14ac:dyDescent="0.25">
      <c r="A562" s="134"/>
      <c r="B562" s="22" t="s">
        <v>857</v>
      </c>
      <c r="C562" s="23">
        <v>4</v>
      </c>
      <c r="D562" s="23"/>
      <c r="E562" s="24"/>
      <c r="F562" s="23"/>
      <c r="G562" s="79">
        <v>0.16830000000000001</v>
      </c>
      <c r="H562" s="26"/>
      <c r="I562" s="26"/>
      <c r="J562" s="26">
        <v>0.67320000000000002</v>
      </c>
      <c r="K562" s="26"/>
    </row>
    <row r="563" spans="1:12" x14ac:dyDescent="0.25">
      <c r="A563" s="134"/>
      <c r="B563" s="22" t="s">
        <v>858</v>
      </c>
      <c r="C563" s="23">
        <v>1</v>
      </c>
      <c r="D563" s="23"/>
      <c r="E563" s="24"/>
      <c r="F563" s="23"/>
      <c r="G563" s="79">
        <v>2.2160000000000002</v>
      </c>
      <c r="H563" s="26"/>
      <c r="I563" s="26"/>
      <c r="J563" s="26">
        <v>2.2160000000000002</v>
      </c>
      <c r="K563" s="26"/>
    </row>
    <row r="564" spans="1:12" x14ac:dyDescent="0.25">
      <c r="A564" s="134"/>
      <c r="B564" s="22" t="s">
        <v>859</v>
      </c>
      <c r="C564" s="23">
        <v>1</v>
      </c>
      <c r="D564" s="23"/>
      <c r="E564" s="24"/>
      <c r="F564" s="23"/>
      <c r="G564" s="79">
        <v>2.528</v>
      </c>
      <c r="H564" s="26"/>
      <c r="I564" s="26"/>
      <c r="J564" s="26">
        <v>2.528</v>
      </c>
      <c r="K564" s="26"/>
    </row>
    <row r="565" spans="1:12" x14ac:dyDescent="0.25">
      <c r="A565" s="134"/>
      <c r="B565" s="22" t="s">
        <v>860</v>
      </c>
      <c r="C565" s="23">
        <v>1</v>
      </c>
      <c r="D565" s="23"/>
      <c r="E565" s="24"/>
      <c r="F565" s="23"/>
      <c r="G565" s="79">
        <v>3.76</v>
      </c>
      <c r="H565" s="26"/>
      <c r="I565" s="26"/>
      <c r="J565" s="26">
        <v>3.76</v>
      </c>
      <c r="K565" s="26"/>
    </row>
    <row r="566" spans="1:12" x14ac:dyDescent="0.25">
      <c r="A566" s="134"/>
      <c r="B566" s="22" t="s">
        <v>861</v>
      </c>
      <c r="C566" s="23">
        <v>1</v>
      </c>
      <c r="D566" s="23"/>
      <c r="E566" s="24"/>
      <c r="F566" s="23"/>
      <c r="G566" s="79">
        <v>2.9342000000000001</v>
      </c>
      <c r="H566" s="26"/>
      <c r="I566" s="26"/>
      <c r="J566" s="26">
        <v>2.9342000000000001</v>
      </c>
      <c r="K566" s="26"/>
    </row>
    <row r="567" spans="1:12" x14ac:dyDescent="0.25">
      <c r="A567" s="134"/>
      <c r="B567" s="22" t="s">
        <v>862</v>
      </c>
      <c r="C567" s="23">
        <v>1</v>
      </c>
      <c r="D567" s="23"/>
      <c r="E567" s="24"/>
      <c r="F567" s="23"/>
      <c r="G567" s="79">
        <v>2.9544999999999999</v>
      </c>
      <c r="H567" s="26"/>
      <c r="I567" s="26"/>
      <c r="J567" s="26">
        <v>2.9544999999999999</v>
      </c>
      <c r="K567" s="26"/>
    </row>
    <row r="568" spans="1:12" x14ac:dyDescent="0.25">
      <c r="A568" s="134"/>
      <c r="B568" s="22" t="s">
        <v>829</v>
      </c>
      <c r="C568" s="23">
        <v>1</v>
      </c>
      <c r="D568" s="23"/>
      <c r="E568" s="24"/>
      <c r="F568" s="23"/>
      <c r="G568" s="79">
        <v>75.78</v>
      </c>
      <c r="H568" s="26"/>
      <c r="I568" s="26"/>
      <c r="J568" s="26">
        <v>75.78</v>
      </c>
      <c r="K568" s="26"/>
    </row>
    <row r="569" spans="1:12" x14ac:dyDescent="0.25">
      <c r="A569" s="134"/>
      <c r="B569" s="22" t="s">
        <v>863</v>
      </c>
      <c r="C569" s="23">
        <v>1</v>
      </c>
      <c r="D569" s="23">
        <v>67.88</v>
      </c>
      <c r="E569" s="24"/>
      <c r="F569" s="23">
        <v>0.1</v>
      </c>
      <c r="G569" s="79">
        <v>6.7880000000000003</v>
      </c>
      <c r="H569" s="26"/>
      <c r="I569" s="26"/>
      <c r="J569" s="26">
        <v>6.7880000000000003</v>
      </c>
      <c r="K569" s="26"/>
    </row>
    <row r="570" spans="1:12" x14ac:dyDescent="0.25">
      <c r="A570" s="134"/>
      <c r="B570" s="22" t="s">
        <v>864</v>
      </c>
      <c r="C570" s="23">
        <v>1</v>
      </c>
      <c r="D570" s="23">
        <v>5.58</v>
      </c>
      <c r="E570" s="24"/>
      <c r="F570" s="23">
        <v>0.15</v>
      </c>
      <c r="G570" s="79">
        <v>0.83699999999999997</v>
      </c>
      <c r="H570" s="26"/>
      <c r="I570" s="26"/>
      <c r="J570" s="26">
        <v>0.83699999999999997</v>
      </c>
      <c r="K570" s="26"/>
    </row>
    <row r="571" spans="1:12" x14ac:dyDescent="0.25">
      <c r="A571" s="134"/>
      <c r="B571" s="22" t="s">
        <v>865</v>
      </c>
      <c r="C571" s="23">
        <v>1</v>
      </c>
      <c r="D571" s="23">
        <v>136.66</v>
      </c>
      <c r="E571" s="24"/>
      <c r="F571" s="23">
        <v>0.15</v>
      </c>
      <c r="G571" s="79">
        <v>20.498999999999999</v>
      </c>
      <c r="H571" s="26"/>
      <c r="I571" s="26"/>
      <c r="J571" s="26">
        <v>20.498999999999999</v>
      </c>
      <c r="K571" s="26"/>
    </row>
    <row r="572" spans="1:12" x14ac:dyDescent="0.25">
      <c r="A572" s="27"/>
      <c r="B572" s="28"/>
      <c r="C572" s="28"/>
      <c r="D572" s="28"/>
      <c r="E572" s="28"/>
      <c r="F572" s="272" t="s">
        <v>36</v>
      </c>
      <c r="G572" s="272"/>
      <c r="H572" s="272"/>
      <c r="I572" s="29"/>
      <c r="J572" s="29">
        <v>126.14</v>
      </c>
      <c r="K572" s="29"/>
    </row>
    <row r="574" spans="1:12" x14ac:dyDescent="0.25">
      <c r="A574" s="19" t="str">
        <f>'Lista de Serviços'!A240</f>
        <v>04.01.576</v>
      </c>
      <c r="B574" s="274" t="str">
        <f>'Lista de Serviços'!B241</f>
        <v>APLICAÇÃO DE FUNDO SELADOR ACRÍLICO EM ESTRUTURAS DE CONCRETO APARENTE, UMA DEMÃO</v>
      </c>
      <c r="C574" s="274"/>
      <c r="D574" s="274"/>
      <c r="E574" s="274"/>
      <c r="F574" s="274"/>
      <c r="G574" s="274"/>
      <c r="H574" s="274"/>
      <c r="I574" s="274"/>
      <c r="J574" s="274"/>
      <c r="K574" s="20"/>
      <c r="L574" s="18" t="s">
        <v>1412</v>
      </c>
    </row>
    <row r="575" spans="1:12" x14ac:dyDescent="0.25">
      <c r="A575" s="275"/>
      <c r="B575" s="275"/>
      <c r="C575" s="21"/>
      <c r="D575" s="21"/>
      <c r="E575" s="21"/>
      <c r="F575" s="21"/>
      <c r="G575" s="275" t="s">
        <v>23</v>
      </c>
      <c r="H575" s="275"/>
      <c r="I575" s="275" t="s">
        <v>24</v>
      </c>
      <c r="J575" s="275"/>
      <c r="K575" s="275"/>
    </row>
    <row r="576" spans="1:12" x14ac:dyDescent="0.25">
      <c r="A576" s="275" t="s">
        <v>25</v>
      </c>
      <c r="B576" s="275"/>
      <c r="C576" s="275" t="s">
        <v>26</v>
      </c>
      <c r="D576" s="275" t="s">
        <v>27</v>
      </c>
      <c r="E576" s="275" t="s">
        <v>28</v>
      </c>
      <c r="F576" s="275" t="s">
        <v>29</v>
      </c>
      <c r="G576" s="141" t="s">
        <v>30</v>
      </c>
      <c r="H576" s="141" t="s">
        <v>31</v>
      </c>
      <c r="I576" s="141" t="s">
        <v>32</v>
      </c>
      <c r="J576" s="141" t="s">
        <v>30</v>
      </c>
      <c r="K576" s="141" t="s">
        <v>31</v>
      </c>
    </row>
    <row r="577" spans="1:12" x14ac:dyDescent="0.25">
      <c r="A577" s="275"/>
      <c r="B577" s="275"/>
      <c r="C577" s="275"/>
      <c r="D577" s="275"/>
      <c r="E577" s="275"/>
      <c r="F577" s="275"/>
      <c r="G577" s="141" t="s">
        <v>33</v>
      </c>
      <c r="H577" s="141" t="s">
        <v>34</v>
      </c>
      <c r="I577" s="141" t="s">
        <v>35</v>
      </c>
      <c r="J577" s="141" t="s">
        <v>33</v>
      </c>
      <c r="K577" s="141" t="s">
        <v>34</v>
      </c>
    </row>
    <row r="578" spans="1:12" ht="33.75" x14ac:dyDescent="0.25">
      <c r="A578" s="141" t="s">
        <v>881</v>
      </c>
      <c r="B578" s="22" t="s">
        <v>880</v>
      </c>
      <c r="C578" s="143">
        <v>1</v>
      </c>
      <c r="D578" s="143">
        <v>31.22</v>
      </c>
      <c r="E578" s="24"/>
      <c r="F578" s="143">
        <v>7.8</v>
      </c>
      <c r="G578" s="79">
        <v>243.51599999999999</v>
      </c>
      <c r="H578" s="26"/>
      <c r="I578" s="26"/>
      <c r="J578" s="26">
        <v>243.51599999999999</v>
      </c>
      <c r="K578" s="26"/>
    </row>
    <row r="579" spans="1:12" x14ac:dyDescent="0.25">
      <c r="A579" s="141"/>
      <c r="B579" s="22" t="s">
        <v>882</v>
      </c>
      <c r="C579" s="143">
        <v>4</v>
      </c>
      <c r="D579" s="143">
        <v>19.600000000000001</v>
      </c>
      <c r="E579" s="24">
        <v>0.62</v>
      </c>
      <c r="F579" s="143">
        <v>0.75</v>
      </c>
      <c r="G579" s="79">
        <v>41.552000000000007</v>
      </c>
      <c r="H579" s="26"/>
      <c r="I579" s="26"/>
      <c r="J579" s="26">
        <v>166.20800000000003</v>
      </c>
      <c r="K579" s="26"/>
    </row>
    <row r="580" spans="1:12" x14ac:dyDescent="0.25">
      <c r="A580" s="141"/>
      <c r="B580" s="22" t="s">
        <v>883</v>
      </c>
      <c r="C580" s="143">
        <v>2</v>
      </c>
      <c r="D580" s="143">
        <v>19.600000000000001</v>
      </c>
      <c r="E580" s="24">
        <v>0.3</v>
      </c>
      <c r="F580" s="143">
        <v>0.67</v>
      </c>
      <c r="G580" s="79">
        <v>32.144000000000005</v>
      </c>
      <c r="H580" s="26"/>
      <c r="I580" s="26"/>
      <c r="J580" s="26">
        <v>64.288000000000011</v>
      </c>
      <c r="K580" s="26"/>
    </row>
    <row r="581" spans="1:12" x14ac:dyDescent="0.25">
      <c r="A581" s="141"/>
      <c r="B581" s="22" t="s">
        <v>884</v>
      </c>
      <c r="C581" s="143">
        <v>1</v>
      </c>
      <c r="D581" s="143">
        <v>37</v>
      </c>
      <c r="E581" s="24">
        <v>0.62</v>
      </c>
      <c r="F581" s="143">
        <v>0.75</v>
      </c>
      <c r="G581" s="79">
        <v>78.44</v>
      </c>
      <c r="H581" s="26"/>
      <c r="I581" s="26"/>
      <c r="J581" s="26">
        <v>78.44</v>
      </c>
      <c r="K581" s="26"/>
    </row>
    <row r="582" spans="1:12" x14ac:dyDescent="0.25">
      <c r="A582" s="141"/>
      <c r="B582" s="22" t="s">
        <v>885</v>
      </c>
      <c r="C582" s="143">
        <v>1</v>
      </c>
      <c r="D582" s="143"/>
      <c r="E582" s="24"/>
      <c r="F582" s="143"/>
      <c r="G582" s="79">
        <v>1300.17</v>
      </c>
      <c r="H582" s="26"/>
      <c r="I582" s="26"/>
      <c r="J582" s="26">
        <v>1300.17</v>
      </c>
      <c r="K582" s="26"/>
    </row>
    <row r="583" spans="1:12" x14ac:dyDescent="0.25">
      <c r="A583" s="141"/>
      <c r="B583" s="22" t="s">
        <v>886</v>
      </c>
      <c r="C583" s="143">
        <v>2</v>
      </c>
      <c r="D583" s="143"/>
      <c r="E583" s="24"/>
      <c r="F583" s="143"/>
      <c r="G583" s="79">
        <v>97.52</v>
      </c>
      <c r="H583" s="26"/>
      <c r="I583" s="26"/>
      <c r="J583" s="26">
        <v>195.04</v>
      </c>
      <c r="K583" s="26"/>
    </row>
    <row r="584" spans="1:12" x14ac:dyDescent="0.25">
      <c r="A584" s="142"/>
      <c r="B584" s="28"/>
      <c r="C584" s="28"/>
      <c r="D584" s="28"/>
      <c r="E584" s="28"/>
      <c r="F584" s="272" t="s">
        <v>36</v>
      </c>
      <c r="G584" s="272"/>
      <c r="H584" s="272"/>
      <c r="I584" s="29"/>
      <c r="J584" s="29">
        <v>2047.66</v>
      </c>
      <c r="K584" s="29"/>
    </row>
    <row r="586" spans="1:12" ht="25.5" customHeight="1" x14ac:dyDescent="0.25">
      <c r="A586" s="19" t="str">
        <f>'Lista de Serviços'!A246</f>
        <v>04.01.604</v>
      </c>
      <c r="B586" s="274" t="str">
        <f>'Lista de Serviços'!B247</f>
        <v>CONTRAPISO EM ARGAMASSA TRAÇO 1:4 (CIMENTO E AREIA), PREPARO MECÂNICO COM BETONEIRA 400 L, APLICADO EM ÁREAS MOLHADAS SOBRE LAJE, ADERIDO, ESPESSURA 2CM. AF_06/2014</v>
      </c>
      <c r="C586" s="274"/>
      <c r="D586" s="274"/>
      <c r="E586" s="274"/>
      <c r="F586" s="274"/>
      <c r="G586" s="274"/>
      <c r="H586" s="274"/>
      <c r="I586" s="274"/>
      <c r="J586" s="274"/>
      <c r="K586" s="20"/>
      <c r="L586" s="18" t="s">
        <v>1412</v>
      </c>
    </row>
    <row r="587" spans="1:12" x14ac:dyDescent="0.25">
      <c r="A587" s="275"/>
      <c r="B587" s="275"/>
      <c r="C587" s="21"/>
      <c r="D587" s="21"/>
      <c r="E587" s="21"/>
      <c r="F587" s="21"/>
      <c r="G587" s="275" t="s">
        <v>23</v>
      </c>
      <c r="H587" s="275"/>
      <c r="I587" s="275" t="s">
        <v>24</v>
      </c>
      <c r="J587" s="275"/>
      <c r="K587" s="275"/>
    </row>
    <row r="588" spans="1:12" x14ac:dyDescent="0.25">
      <c r="A588" s="275" t="s">
        <v>25</v>
      </c>
      <c r="B588" s="275"/>
      <c r="C588" s="275" t="s">
        <v>26</v>
      </c>
      <c r="D588" s="275" t="s">
        <v>27</v>
      </c>
      <c r="E588" s="275" t="s">
        <v>28</v>
      </c>
      <c r="F588" s="275" t="s">
        <v>29</v>
      </c>
      <c r="G588" s="83" t="s">
        <v>30</v>
      </c>
      <c r="H588" s="83" t="s">
        <v>31</v>
      </c>
      <c r="I588" s="83" t="s">
        <v>32</v>
      </c>
      <c r="J588" s="83" t="s">
        <v>30</v>
      </c>
      <c r="K588" s="83" t="s">
        <v>31</v>
      </c>
    </row>
    <row r="589" spans="1:12" x14ac:dyDescent="0.25">
      <c r="A589" s="275"/>
      <c r="B589" s="275"/>
      <c r="C589" s="275"/>
      <c r="D589" s="275"/>
      <c r="E589" s="275"/>
      <c r="F589" s="275"/>
      <c r="G589" s="83" t="s">
        <v>33</v>
      </c>
      <c r="H589" s="83" t="s">
        <v>34</v>
      </c>
      <c r="I589" s="83" t="s">
        <v>35</v>
      </c>
      <c r="J589" s="83" t="s">
        <v>33</v>
      </c>
      <c r="K589" s="83" t="s">
        <v>34</v>
      </c>
    </row>
    <row r="590" spans="1:12" ht="22.5" x14ac:dyDescent="0.25">
      <c r="A590" s="83" t="s">
        <v>297</v>
      </c>
      <c r="B590" s="22" t="s">
        <v>1430</v>
      </c>
      <c r="C590" s="23">
        <v>1</v>
      </c>
      <c r="D590" s="23"/>
      <c r="E590" s="24"/>
      <c r="F590" s="23"/>
      <c r="G590" s="79">
        <v>116.1</v>
      </c>
      <c r="H590" s="26"/>
      <c r="I590" s="26"/>
      <c r="J590" s="26">
        <f>G590*C590</f>
        <v>116.1</v>
      </c>
      <c r="K590" s="26"/>
    </row>
    <row r="591" spans="1:12" x14ac:dyDescent="0.25">
      <c r="A591" s="83" t="s">
        <v>297</v>
      </c>
      <c r="B591" s="22" t="s">
        <v>298</v>
      </c>
      <c r="C591" s="23">
        <v>-1</v>
      </c>
      <c r="D591" s="23"/>
      <c r="E591" s="24"/>
      <c r="F591" s="23"/>
      <c r="G591" s="79">
        <v>0.6</v>
      </c>
      <c r="H591" s="26"/>
      <c r="I591" s="26"/>
      <c r="J591" s="26">
        <v>-0.6</v>
      </c>
      <c r="K591" s="26"/>
    </row>
    <row r="592" spans="1:12" x14ac:dyDescent="0.25">
      <c r="A592" s="27"/>
      <c r="B592" s="28"/>
      <c r="C592" s="28"/>
      <c r="D592" s="28"/>
      <c r="E592" s="28"/>
      <c r="F592" s="272" t="s">
        <v>36</v>
      </c>
      <c r="G592" s="272"/>
      <c r="H592" s="272"/>
      <c r="I592" s="29"/>
      <c r="J592" s="29">
        <f>SUM(J590:J591)</f>
        <v>115.5</v>
      </c>
      <c r="K592" s="29"/>
    </row>
    <row r="593" spans="1:12" x14ac:dyDescent="0.25">
      <c r="A593" s="83"/>
      <c r="B593" s="273"/>
      <c r="C593" s="273"/>
      <c r="D593" s="273"/>
      <c r="E593" s="273"/>
      <c r="F593" s="273"/>
      <c r="G593" s="273"/>
      <c r="H593" s="273"/>
      <c r="I593" s="273"/>
      <c r="J593" s="273"/>
      <c r="K593" s="83"/>
    </row>
    <row r="594" spans="1:12" x14ac:dyDescent="0.25">
      <c r="A594" s="19" t="str">
        <f>'Lista de Serviços'!A250</f>
        <v>04.01.701</v>
      </c>
      <c r="B594" s="274" t="str">
        <f>'Lista de Serviços'!B251</f>
        <v>RODAPÉ EM GRANITO, ALTURA 10 CM. AF_06/2018</v>
      </c>
      <c r="C594" s="274"/>
      <c r="D594" s="274"/>
      <c r="E594" s="274"/>
      <c r="F594" s="274"/>
      <c r="G594" s="274"/>
      <c r="H594" s="274"/>
      <c r="I594" s="274"/>
      <c r="J594" s="274"/>
      <c r="K594" s="20"/>
      <c r="L594" s="18" t="s">
        <v>1412</v>
      </c>
    </row>
    <row r="595" spans="1:12" x14ac:dyDescent="0.25">
      <c r="A595" s="275"/>
      <c r="B595" s="275"/>
      <c r="C595" s="21"/>
      <c r="D595" s="21"/>
      <c r="E595" s="21"/>
      <c r="F595" s="21"/>
      <c r="G595" s="275" t="s">
        <v>23</v>
      </c>
      <c r="H595" s="275"/>
      <c r="I595" s="275" t="s">
        <v>24</v>
      </c>
      <c r="J595" s="275"/>
      <c r="K595" s="275"/>
    </row>
    <row r="596" spans="1:12" x14ac:dyDescent="0.25">
      <c r="A596" s="275" t="s">
        <v>25</v>
      </c>
      <c r="B596" s="275"/>
      <c r="C596" s="275" t="s">
        <v>26</v>
      </c>
      <c r="D596" s="275" t="s">
        <v>27</v>
      </c>
      <c r="E596" s="275" t="s">
        <v>28</v>
      </c>
      <c r="F596" s="275" t="s">
        <v>29</v>
      </c>
      <c r="G596" s="134" t="s">
        <v>30</v>
      </c>
      <c r="H596" s="134" t="s">
        <v>31</v>
      </c>
      <c r="I596" s="134" t="s">
        <v>32</v>
      </c>
      <c r="J596" s="134" t="s">
        <v>30</v>
      </c>
      <c r="K596" s="134" t="s">
        <v>31</v>
      </c>
    </row>
    <row r="597" spans="1:12" x14ac:dyDescent="0.25">
      <c r="A597" s="275"/>
      <c r="B597" s="275"/>
      <c r="C597" s="275"/>
      <c r="D597" s="275"/>
      <c r="E597" s="275"/>
      <c r="F597" s="275"/>
      <c r="G597" s="134" t="s">
        <v>33</v>
      </c>
      <c r="H597" s="134" t="s">
        <v>34</v>
      </c>
      <c r="I597" s="134" t="s">
        <v>35</v>
      </c>
      <c r="J597" s="134" t="s">
        <v>33</v>
      </c>
      <c r="K597" s="134" t="s">
        <v>34</v>
      </c>
    </row>
    <row r="598" spans="1:12" x14ac:dyDescent="0.25">
      <c r="A598" s="134"/>
      <c r="B598" s="22" t="s">
        <v>826</v>
      </c>
      <c r="C598" s="23">
        <v>1</v>
      </c>
      <c r="D598" s="23">
        <v>33.33</v>
      </c>
      <c r="E598" s="24"/>
      <c r="F598" s="23"/>
      <c r="G598" s="79"/>
      <c r="H598" s="26"/>
      <c r="I598" s="26">
        <v>33.33</v>
      </c>
      <c r="J598" s="26"/>
      <c r="K598" s="26"/>
    </row>
    <row r="599" spans="1:12" x14ac:dyDescent="0.25">
      <c r="A599" s="134"/>
      <c r="B599" s="22" t="s">
        <v>827</v>
      </c>
      <c r="C599" s="23">
        <v>1</v>
      </c>
      <c r="D599" s="23">
        <v>34.549999999999997</v>
      </c>
      <c r="E599" s="24"/>
      <c r="F599" s="23"/>
      <c r="G599" s="79"/>
      <c r="H599" s="26"/>
      <c r="I599" s="26">
        <v>34.549999999999997</v>
      </c>
      <c r="J599" s="26"/>
      <c r="K599" s="26"/>
    </row>
    <row r="600" spans="1:12" x14ac:dyDescent="0.25">
      <c r="A600" s="27"/>
      <c r="B600" s="28"/>
      <c r="C600" s="28"/>
      <c r="D600" s="28"/>
      <c r="E600" s="28"/>
      <c r="F600" s="272" t="s">
        <v>36</v>
      </c>
      <c r="G600" s="272"/>
      <c r="H600" s="272"/>
      <c r="I600" s="29">
        <v>67.88</v>
      </c>
      <c r="J600" s="29"/>
      <c r="K600" s="29"/>
    </row>
    <row r="602" spans="1:12" x14ac:dyDescent="0.25">
      <c r="A602" s="19" t="str">
        <f>'Lista de Serviços'!A250</f>
        <v>04.01.701</v>
      </c>
      <c r="B602" s="274" t="str">
        <f>'Lista de Serviços'!B252</f>
        <v>Rodapé flexível para piso vinílico, em PVC, com espessura de 2mm e altura de 7,5cm</v>
      </c>
      <c r="C602" s="274"/>
      <c r="D602" s="274"/>
      <c r="E602" s="274"/>
      <c r="F602" s="274"/>
      <c r="G602" s="274"/>
      <c r="H602" s="274"/>
      <c r="I602" s="274"/>
      <c r="J602" s="274"/>
      <c r="K602" s="20"/>
      <c r="L602" s="18" t="s">
        <v>1412</v>
      </c>
    </row>
    <row r="603" spans="1:12" x14ac:dyDescent="0.25">
      <c r="A603" s="275"/>
      <c r="B603" s="275"/>
      <c r="C603" s="21"/>
      <c r="D603" s="21"/>
      <c r="E603" s="21"/>
      <c r="F603" s="21"/>
      <c r="G603" s="275" t="s">
        <v>23</v>
      </c>
      <c r="H603" s="275"/>
      <c r="I603" s="275" t="s">
        <v>24</v>
      </c>
      <c r="J603" s="275"/>
      <c r="K603" s="275"/>
    </row>
    <row r="604" spans="1:12" x14ac:dyDescent="0.25">
      <c r="A604" s="275" t="s">
        <v>25</v>
      </c>
      <c r="B604" s="275"/>
      <c r="C604" s="275" t="s">
        <v>26</v>
      </c>
      <c r="D604" s="275" t="s">
        <v>27</v>
      </c>
      <c r="E604" s="275" t="s">
        <v>28</v>
      </c>
      <c r="F604" s="275" t="s">
        <v>29</v>
      </c>
      <c r="G604" s="134" t="s">
        <v>30</v>
      </c>
      <c r="H604" s="134" t="s">
        <v>31</v>
      </c>
      <c r="I604" s="134" t="s">
        <v>32</v>
      </c>
      <c r="J604" s="134" t="s">
        <v>30</v>
      </c>
      <c r="K604" s="134" t="s">
        <v>31</v>
      </c>
    </row>
    <row r="605" spans="1:12" x14ac:dyDescent="0.25">
      <c r="A605" s="275"/>
      <c r="B605" s="275"/>
      <c r="C605" s="275"/>
      <c r="D605" s="275"/>
      <c r="E605" s="275"/>
      <c r="F605" s="275"/>
      <c r="G605" s="134" t="s">
        <v>33</v>
      </c>
      <c r="H605" s="134" t="s">
        <v>34</v>
      </c>
      <c r="I605" s="134" t="s">
        <v>35</v>
      </c>
      <c r="J605" s="134" t="s">
        <v>33</v>
      </c>
      <c r="K605" s="134" t="s">
        <v>34</v>
      </c>
    </row>
    <row r="606" spans="1:12" x14ac:dyDescent="0.25">
      <c r="A606" s="134"/>
      <c r="B606" s="22" t="s">
        <v>826</v>
      </c>
      <c r="C606" s="23">
        <v>1</v>
      </c>
      <c r="D606" s="23">
        <v>407.6</v>
      </c>
      <c r="E606" s="24"/>
      <c r="F606" s="23"/>
      <c r="G606" s="79"/>
      <c r="H606" s="26"/>
      <c r="I606" s="26">
        <v>407.6</v>
      </c>
      <c r="J606" s="26"/>
      <c r="K606" s="26"/>
    </row>
    <row r="607" spans="1:12" x14ac:dyDescent="0.25">
      <c r="A607" s="134"/>
      <c r="B607" s="22" t="s">
        <v>827</v>
      </c>
      <c r="C607" s="23">
        <v>1</v>
      </c>
      <c r="D607" s="23">
        <v>386.57</v>
      </c>
      <c r="E607" s="24"/>
      <c r="F607" s="23"/>
      <c r="G607" s="79"/>
      <c r="H607" s="26"/>
      <c r="I607" s="26">
        <v>386.57</v>
      </c>
      <c r="J607" s="26"/>
      <c r="K607" s="26"/>
    </row>
    <row r="608" spans="1:12" x14ac:dyDescent="0.25">
      <c r="A608" s="27"/>
      <c r="B608" s="28"/>
      <c r="C608" s="28"/>
      <c r="D608" s="28"/>
      <c r="E608" s="28"/>
      <c r="F608" s="272" t="s">
        <v>36</v>
      </c>
      <c r="G608" s="272"/>
      <c r="H608" s="272"/>
      <c r="I608" s="29">
        <v>794.17</v>
      </c>
      <c r="J608" s="29"/>
      <c r="K608" s="29"/>
    </row>
    <row r="610" spans="1:12" x14ac:dyDescent="0.25">
      <c r="A610" s="19" t="str">
        <f>'Lista de Serviços'!A255</f>
        <v>04.01.703</v>
      </c>
      <c r="B610" s="274" t="str">
        <f>'Lista de Serviços'!B256</f>
        <v>Peitoril em granito, espessura de 2cm e largura até 20cm, acabamento polido</v>
      </c>
      <c r="C610" s="274"/>
      <c r="D610" s="274"/>
      <c r="E610" s="274"/>
      <c r="F610" s="274"/>
      <c r="G610" s="274"/>
      <c r="H610" s="274"/>
      <c r="I610" s="274"/>
      <c r="J610" s="274"/>
      <c r="K610" s="20"/>
      <c r="L610" s="18" t="s">
        <v>1412</v>
      </c>
    </row>
    <row r="611" spans="1:12" x14ac:dyDescent="0.25">
      <c r="A611" s="275"/>
      <c r="B611" s="275"/>
      <c r="C611" s="21"/>
      <c r="D611" s="21"/>
      <c r="E611" s="21"/>
      <c r="F611" s="21"/>
      <c r="G611" s="275" t="s">
        <v>23</v>
      </c>
      <c r="H611" s="275"/>
      <c r="I611" s="275" t="s">
        <v>24</v>
      </c>
      <c r="J611" s="275"/>
      <c r="K611" s="275"/>
    </row>
    <row r="612" spans="1:12" x14ac:dyDescent="0.25">
      <c r="A612" s="275" t="s">
        <v>25</v>
      </c>
      <c r="B612" s="275"/>
      <c r="C612" s="275" t="s">
        <v>26</v>
      </c>
      <c r="D612" s="275" t="s">
        <v>27</v>
      </c>
      <c r="E612" s="275" t="s">
        <v>28</v>
      </c>
      <c r="F612" s="275" t="s">
        <v>29</v>
      </c>
      <c r="G612" s="94" t="s">
        <v>30</v>
      </c>
      <c r="H612" s="94" t="s">
        <v>31</v>
      </c>
      <c r="I612" s="94" t="s">
        <v>32</v>
      </c>
      <c r="J612" s="94" t="s">
        <v>30</v>
      </c>
      <c r="K612" s="94" t="s">
        <v>31</v>
      </c>
    </row>
    <row r="613" spans="1:12" x14ac:dyDescent="0.25">
      <c r="A613" s="275"/>
      <c r="B613" s="275"/>
      <c r="C613" s="275"/>
      <c r="D613" s="275"/>
      <c r="E613" s="275"/>
      <c r="F613" s="275"/>
      <c r="G613" s="94" t="s">
        <v>33</v>
      </c>
      <c r="H613" s="94" t="s">
        <v>34</v>
      </c>
      <c r="I613" s="94" t="s">
        <v>35</v>
      </c>
      <c r="J613" s="94" t="s">
        <v>33</v>
      </c>
      <c r="K613" s="94" t="s">
        <v>34</v>
      </c>
    </row>
    <row r="614" spans="1:12" x14ac:dyDescent="0.25">
      <c r="A614" s="94"/>
      <c r="B614" s="22" t="s">
        <v>106</v>
      </c>
      <c r="C614" s="23">
        <v>1</v>
      </c>
      <c r="D614" s="23">
        <v>37.4</v>
      </c>
      <c r="E614" s="24"/>
      <c r="F614" s="23"/>
      <c r="G614" s="79"/>
      <c r="H614" s="26"/>
      <c r="I614" s="26">
        <v>37.4</v>
      </c>
      <c r="J614" s="26"/>
      <c r="K614" s="26"/>
    </row>
    <row r="615" spans="1:12" x14ac:dyDescent="0.25">
      <c r="A615" s="94"/>
      <c r="B615" s="22" t="s">
        <v>145</v>
      </c>
      <c r="C615" s="23">
        <v>1</v>
      </c>
      <c r="D615" s="23">
        <v>37.4</v>
      </c>
      <c r="E615" s="24"/>
      <c r="F615" s="23"/>
      <c r="G615" s="79"/>
      <c r="H615" s="26"/>
      <c r="I615" s="26">
        <v>37.4</v>
      </c>
      <c r="J615" s="26"/>
      <c r="K615" s="26"/>
    </row>
    <row r="616" spans="1:12" x14ac:dyDescent="0.25">
      <c r="A616" s="94"/>
      <c r="B616" s="22" t="s">
        <v>105</v>
      </c>
      <c r="C616" s="23">
        <v>1</v>
      </c>
      <c r="D616" s="23">
        <v>22.27</v>
      </c>
      <c r="E616" s="24"/>
      <c r="F616" s="23"/>
      <c r="G616" s="79"/>
      <c r="H616" s="26"/>
      <c r="I616" s="26">
        <v>22.27</v>
      </c>
      <c r="J616" s="26"/>
      <c r="K616" s="26"/>
    </row>
    <row r="617" spans="1:12" x14ac:dyDescent="0.25">
      <c r="A617" s="94"/>
      <c r="B617" s="22" t="s">
        <v>107</v>
      </c>
      <c r="C617" s="23">
        <v>1</v>
      </c>
      <c r="D617" s="23">
        <v>3.16</v>
      </c>
      <c r="E617" s="24"/>
      <c r="F617" s="23"/>
      <c r="G617" s="79"/>
      <c r="H617" s="26"/>
      <c r="I617" s="26">
        <v>3.16</v>
      </c>
      <c r="J617" s="26"/>
      <c r="K617" s="26"/>
    </row>
    <row r="618" spans="1:12" x14ac:dyDescent="0.25">
      <c r="A618" s="94"/>
      <c r="B618" s="22" t="s">
        <v>108</v>
      </c>
      <c r="C618" s="23">
        <v>1</v>
      </c>
      <c r="D618" s="23">
        <v>1.8</v>
      </c>
      <c r="E618" s="24"/>
      <c r="F618" s="23"/>
      <c r="G618" s="79"/>
      <c r="H618" s="26"/>
      <c r="I618" s="26">
        <v>1.8</v>
      </c>
      <c r="J618" s="26"/>
      <c r="K618" s="26"/>
    </row>
    <row r="619" spans="1:12" x14ac:dyDescent="0.25">
      <c r="A619" s="94"/>
      <c r="B619" s="22" t="s">
        <v>146</v>
      </c>
      <c r="C619" s="23">
        <v>1</v>
      </c>
      <c r="D619" s="23">
        <v>1.9</v>
      </c>
      <c r="E619" s="24"/>
      <c r="F619" s="23"/>
      <c r="G619" s="79"/>
      <c r="H619" s="26"/>
      <c r="I619" s="26">
        <v>1.9</v>
      </c>
      <c r="J619" s="26"/>
      <c r="K619" s="26"/>
    </row>
    <row r="620" spans="1:12" x14ac:dyDescent="0.25">
      <c r="A620" s="94"/>
      <c r="B620" s="22" t="s">
        <v>147</v>
      </c>
      <c r="C620" s="23">
        <v>1</v>
      </c>
      <c r="D620" s="23">
        <v>22.27</v>
      </c>
      <c r="E620" s="24"/>
      <c r="F620" s="23"/>
      <c r="G620" s="79"/>
      <c r="H620" s="26"/>
      <c r="I620" s="26">
        <v>22.27</v>
      </c>
      <c r="J620" s="26"/>
      <c r="K620" s="26"/>
    </row>
    <row r="621" spans="1:12" x14ac:dyDescent="0.25">
      <c r="A621" s="94"/>
      <c r="B621" s="22" t="s">
        <v>148</v>
      </c>
      <c r="C621" s="23">
        <v>1</v>
      </c>
      <c r="D621" s="23">
        <v>3.16</v>
      </c>
      <c r="E621" s="24"/>
      <c r="F621" s="23"/>
      <c r="G621" s="79"/>
      <c r="H621" s="26"/>
      <c r="I621" s="26">
        <v>3.16</v>
      </c>
      <c r="J621" s="26"/>
      <c r="K621" s="26"/>
    </row>
    <row r="622" spans="1:12" x14ac:dyDescent="0.25">
      <c r="A622" s="94"/>
      <c r="B622" s="22" t="s">
        <v>149</v>
      </c>
      <c r="C622" s="23">
        <v>1</v>
      </c>
      <c r="D622" s="23">
        <v>1.8</v>
      </c>
      <c r="E622" s="24"/>
      <c r="F622" s="23"/>
      <c r="G622" s="79"/>
      <c r="H622" s="26"/>
      <c r="I622" s="26">
        <v>1.8</v>
      </c>
      <c r="J622" s="26"/>
      <c r="K622" s="26"/>
    </row>
    <row r="623" spans="1:12" x14ac:dyDescent="0.25">
      <c r="A623" s="94"/>
      <c r="B623" s="22" t="s">
        <v>150</v>
      </c>
      <c r="C623" s="23">
        <v>1</v>
      </c>
      <c r="D623" s="23">
        <v>1.9</v>
      </c>
      <c r="E623" s="24"/>
      <c r="F623" s="23"/>
      <c r="G623" s="79"/>
      <c r="H623" s="26"/>
      <c r="I623" s="26">
        <v>1.9</v>
      </c>
      <c r="J623" s="26"/>
      <c r="K623" s="26"/>
    </row>
    <row r="624" spans="1:12" x14ac:dyDescent="0.25">
      <c r="A624" s="94"/>
      <c r="B624" s="22" t="s">
        <v>140</v>
      </c>
      <c r="C624" s="23">
        <v>2</v>
      </c>
      <c r="D624" s="23">
        <v>1.8</v>
      </c>
      <c r="E624" s="24"/>
      <c r="F624" s="23"/>
      <c r="G624" s="79"/>
      <c r="H624" s="26"/>
      <c r="I624" s="26">
        <v>3.6</v>
      </c>
      <c r="J624" s="26"/>
      <c r="K624" s="26"/>
    </row>
    <row r="625" spans="1:12" x14ac:dyDescent="0.25">
      <c r="A625" s="27"/>
      <c r="B625" s="28"/>
      <c r="C625" s="28"/>
      <c r="D625" s="28"/>
      <c r="E625" s="28"/>
      <c r="F625" s="272" t="s">
        <v>36</v>
      </c>
      <c r="G625" s="272"/>
      <c r="H625" s="272"/>
      <c r="I625" s="29">
        <v>136.66</v>
      </c>
      <c r="J625" s="29"/>
      <c r="K625" s="29"/>
    </row>
    <row r="627" spans="1:12" x14ac:dyDescent="0.25">
      <c r="A627" s="19" t="str">
        <f>'Lista de Serviços'!A257</f>
        <v>04.01.705</v>
      </c>
      <c r="B627" s="274" t="str">
        <f>'Lista de Serviços'!B258</f>
        <v>Cantoneira aluminio 1" x 1" para arremates em revestimentos cerâmicos</v>
      </c>
      <c r="C627" s="274"/>
      <c r="D627" s="274"/>
      <c r="E627" s="274"/>
      <c r="F627" s="274"/>
      <c r="G627" s="274"/>
      <c r="H627" s="274"/>
      <c r="I627" s="274"/>
      <c r="J627" s="274"/>
      <c r="K627" s="20"/>
      <c r="L627" s="18" t="s">
        <v>1412</v>
      </c>
    </row>
    <row r="628" spans="1:12" x14ac:dyDescent="0.25">
      <c r="A628" s="275"/>
      <c r="B628" s="275"/>
      <c r="C628" s="21"/>
      <c r="D628" s="21"/>
      <c r="E628" s="21"/>
      <c r="F628" s="21"/>
      <c r="G628" s="275" t="s">
        <v>23</v>
      </c>
      <c r="H628" s="275"/>
      <c r="I628" s="275" t="s">
        <v>24</v>
      </c>
      <c r="J628" s="275"/>
      <c r="K628" s="275"/>
    </row>
    <row r="629" spans="1:12" x14ac:dyDescent="0.25">
      <c r="A629" s="275" t="s">
        <v>25</v>
      </c>
      <c r="B629" s="275"/>
      <c r="C629" s="275" t="s">
        <v>26</v>
      </c>
      <c r="D629" s="275" t="s">
        <v>27</v>
      </c>
      <c r="E629" s="275" t="s">
        <v>28</v>
      </c>
      <c r="F629" s="275" t="s">
        <v>29</v>
      </c>
      <c r="G629" s="141" t="s">
        <v>30</v>
      </c>
      <c r="H629" s="141" t="s">
        <v>31</v>
      </c>
      <c r="I629" s="141" t="s">
        <v>32</v>
      </c>
      <c r="J629" s="141" t="s">
        <v>30</v>
      </c>
      <c r="K629" s="141" t="s">
        <v>31</v>
      </c>
    </row>
    <row r="630" spans="1:12" x14ac:dyDescent="0.25">
      <c r="A630" s="275"/>
      <c r="B630" s="275"/>
      <c r="C630" s="275"/>
      <c r="D630" s="275"/>
      <c r="E630" s="275"/>
      <c r="F630" s="275"/>
      <c r="G630" s="141" t="s">
        <v>33</v>
      </c>
      <c r="H630" s="141" t="s">
        <v>34</v>
      </c>
      <c r="I630" s="141" t="s">
        <v>35</v>
      </c>
      <c r="J630" s="141" t="s">
        <v>33</v>
      </c>
      <c r="K630" s="141" t="s">
        <v>34</v>
      </c>
    </row>
    <row r="631" spans="1:12" ht="33.75" x14ac:dyDescent="0.25">
      <c r="A631" s="141"/>
      <c r="B631" s="22" t="s">
        <v>890</v>
      </c>
      <c r="C631" s="143">
        <v>2</v>
      </c>
      <c r="D631" s="143">
        <v>27.4</v>
      </c>
      <c r="E631" s="24"/>
      <c r="F631" s="143"/>
      <c r="G631" s="79"/>
      <c r="H631" s="26"/>
      <c r="I631" s="26">
        <v>54.8</v>
      </c>
      <c r="J631" s="26"/>
      <c r="K631" s="26"/>
    </row>
    <row r="632" spans="1:12" ht="33.75" x14ac:dyDescent="0.25">
      <c r="A632" s="141"/>
      <c r="B632" s="22" t="s">
        <v>891</v>
      </c>
      <c r="C632" s="143">
        <v>2</v>
      </c>
      <c r="D632" s="143">
        <v>7.07</v>
      </c>
      <c r="E632" s="24"/>
      <c r="F632" s="143"/>
      <c r="G632" s="79"/>
      <c r="H632" s="26"/>
      <c r="I632" s="26">
        <v>14.14</v>
      </c>
      <c r="J632" s="26"/>
      <c r="K632" s="26"/>
    </row>
    <row r="633" spans="1:12" x14ac:dyDescent="0.25">
      <c r="A633" s="141"/>
      <c r="B633" s="22" t="s">
        <v>889</v>
      </c>
      <c r="C633" s="143">
        <v>4</v>
      </c>
      <c r="D633" s="143">
        <v>1.8</v>
      </c>
      <c r="E633" s="24"/>
      <c r="F633" s="143"/>
      <c r="G633" s="79"/>
      <c r="H633" s="26"/>
      <c r="I633" s="26">
        <v>7.2</v>
      </c>
      <c r="J633" s="26"/>
      <c r="K633" s="26"/>
    </row>
    <row r="634" spans="1:12" x14ac:dyDescent="0.25">
      <c r="A634" s="142"/>
      <c r="B634" s="28"/>
      <c r="C634" s="28"/>
      <c r="D634" s="28"/>
      <c r="E634" s="28"/>
      <c r="F634" s="272" t="s">
        <v>36</v>
      </c>
      <c r="G634" s="272"/>
      <c r="H634" s="272"/>
      <c r="I634" s="29">
        <v>76.14</v>
      </c>
      <c r="J634" s="29"/>
      <c r="K634" s="29"/>
    </row>
    <row r="636" spans="1:12" x14ac:dyDescent="0.25">
      <c r="A636" s="19" t="str">
        <f>'Lista de Serviços'!A262</f>
        <v>04.01.710</v>
      </c>
      <c r="B636" s="274" t="str">
        <f>'Lista de Serviços'!B263</f>
        <v>ACABAMENTOS PARA FORRO (TABICA)</v>
      </c>
      <c r="C636" s="274"/>
      <c r="D636" s="274"/>
      <c r="E636" s="274"/>
      <c r="F636" s="274"/>
      <c r="G636" s="274"/>
      <c r="H636" s="274"/>
      <c r="I636" s="274"/>
      <c r="J636" s="274"/>
      <c r="K636" s="20"/>
      <c r="L636" s="18" t="s">
        <v>1412</v>
      </c>
    </row>
    <row r="637" spans="1:12" x14ac:dyDescent="0.25">
      <c r="A637" s="275"/>
      <c r="B637" s="275"/>
      <c r="C637" s="21"/>
      <c r="D637" s="21"/>
      <c r="E637" s="21"/>
      <c r="F637" s="21"/>
      <c r="G637" s="275" t="s">
        <v>23</v>
      </c>
      <c r="H637" s="275"/>
      <c r="I637" s="275" t="s">
        <v>24</v>
      </c>
      <c r="J637" s="275"/>
      <c r="K637" s="275"/>
    </row>
    <row r="638" spans="1:12" x14ac:dyDescent="0.25">
      <c r="A638" s="275" t="s">
        <v>25</v>
      </c>
      <c r="B638" s="275"/>
      <c r="C638" s="275" t="s">
        <v>26</v>
      </c>
      <c r="D638" s="275" t="s">
        <v>27</v>
      </c>
      <c r="E638" s="275" t="s">
        <v>28</v>
      </c>
      <c r="F638" s="275" t="s">
        <v>29</v>
      </c>
      <c r="G638" s="82" t="s">
        <v>30</v>
      </c>
      <c r="H638" s="82" t="s">
        <v>31</v>
      </c>
      <c r="I638" s="82" t="s">
        <v>32</v>
      </c>
      <c r="J638" s="82" t="s">
        <v>30</v>
      </c>
      <c r="K638" s="82" t="s">
        <v>31</v>
      </c>
    </row>
    <row r="639" spans="1:12" x14ac:dyDescent="0.25">
      <c r="A639" s="275"/>
      <c r="B639" s="275"/>
      <c r="C639" s="275"/>
      <c r="D639" s="275"/>
      <c r="E639" s="275"/>
      <c r="F639" s="275"/>
      <c r="G639" s="82" t="s">
        <v>33</v>
      </c>
      <c r="H639" s="82" t="s">
        <v>34</v>
      </c>
      <c r="I639" s="82" t="s">
        <v>35</v>
      </c>
      <c r="J639" s="82" t="s">
        <v>33</v>
      </c>
      <c r="K639" s="82" t="s">
        <v>34</v>
      </c>
    </row>
    <row r="640" spans="1:12" x14ac:dyDescent="0.25">
      <c r="A640" s="82" t="s">
        <v>141</v>
      </c>
      <c r="B640" s="22" t="s">
        <v>270</v>
      </c>
      <c r="C640" s="23">
        <v>1</v>
      </c>
      <c r="D640" s="23"/>
      <c r="E640" s="24"/>
      <c r="F640" s="23"/>
      <c r="G640" s="79"/>
      <c r="H640" s="26"/>
      <c r="I640" s="26">
        <v>477.19</v>
      </c>
      <c r="J640" s="26"/>
      <c r="K640" s="26"/>
    </row>
    <row r="641" spans="1:12" x14ac:dyDescent="0.25">
      <c r="A641" s="82" t="s">
        <v>144</v>
      </c>
      <c r="B641" s="22" t="s">
        <v>271</v>
      </c>
      <c r="C641" s="23">
        <v>1</v>
      </c>
      <c r="D641" s="23"/>
      <c r="E641" s="24"/>
      <c r="F641" s="23"/>
      <c r="G641" s="79"/>
      <c r="H641" s="26"/>
      <c r="I641" s="26">
        <v>506.33</v>
      </c>
      <c r="J641" s="26"/>
      <c r="K641" s="26"/>
    </row>
    <row r="642" spans="1:12" x14ac:dyDescent="0.25">
      <c r="A642" s="27"/>
      <c r="B642" s="28"/>
      <c r="C642" s="28"/>
      <c r="D642" s="28"/>
      <c r="E642" s="28"/>
      <c r="F642" s="272" t="s">
        <v>36</v>
      </c>
      <c r="G642" s="272"/>
      <c r="H642" s="272"/>
      <c r="I642" s="29">
        <v>983.52</v>
      </c>
      <c r="J642" s="29"/>
      <c r="K642" s="29"/>
    </row>
    <row r="643" spans="1:12" x14ac:dyDescent="0.25">
      <c r="A643" s="82"/>
      <c r="B643" s="273"/>
      <c r="C643" s="273"/>
      <c r="D643" s="273"/>
      <c r="E643" s="273"/>
      <c r="F643" s="273"/>
      <c r="G643" s="273"/>
      <c r="H643" s="273"/>
      <c r="I643" s="273"/>
      <c r="J643" s="273"/>
      <c r="K643" s="82"/>
    </row>
    <row r="644" spans="1:12" x14ac:dyDescent="0.25">
      <c r="A644" s="19" t="str">
        <f>'Lista de Serviços'!A265</f>
        <v>04.01.801</v>
      </c>
      <c r="B644" s="274" t="str">
        <f>'Lista de Serviços'!B266</f>
        <v>Corrimão duplo em aço galvanizado, fixado em parede ou em guarda-corpo, inclusive pintura</v>
      </c>
      <c r="C644" s="274"/>
      <c r="D644" s="274"/>
      <c r="E644" s="274"/>
      <c r="F644" s="274"/>
      <c r="G644" s="274"/>
      <c r="H644" s="274"/>
      <c r="I644" s="274"/>
      <c r="J644" s="274"/>
      <c r="K644" s="20"/>
      <c r="L644" s="18" t="s">
        <v>1412</v>
      </c>
    </row>
    <row r="645" spans="1:12" x14ac:dyDescent="0.25">
      <c r="A645" s="275"/>
      <c r="B645" s="275"/>
      <c r="C645" s="21"/>
      <c r="D645" s="21"/>
      <c r="E645" s="21"/>
      <c r="F645" s="21"/>
      <c r="G645" s="275" t="s">
        <v>23</v>
      </c>
      <c r="H645" s="275"/>
      <c r="I645" s="275" t="s">
        <v>24</v>
      </c>
      <c r="J645" s="275"/>
      <c r="K645" s="275"/>
    </row>
    <row r="646" spans="1:12" x14ac:dyDescent="0.25">
      <c r="A646" s="275" t="s">
        <v>25</v>
      </c>
      <c r="B646" s="275"/>
      <c r="C646" s="275" t="s">
        <v>26</v>
      </c>
      <c r="D646" s="275" t="s">
        <v>27</v>
      </c>
      <c r="E646" s="275" t="s">
        <v>28</v>
      </c>
      <c r="F646" s="275" t="s">
        <v>29</v>
      </c>
      <c r="G646" s="124" t="s">
        <v>30</v>
      </c>
      <c r="H646" s="124" t="s">
        <v>31</v>
      </c>
      <c r="I646" s="124" t="s">
        <v>32</v>
      </c>
      <c r="J646" s="124" t="s">
        <v>30</v>
      </c>
      <c r="K646" s="124" t="s">
        <v>31</v>
      </c>
    </row>
    <row r="647" spans="1:12" x14ac:dyDescent="0.25">
      <c r="A647" s="275"/>
      <c r="B647" s="275"/>
      <c r="C647" s="275"/>
      <c r="D647" s="275"/>
      <c r="E647" s="275"/>
      <c r="F647" s="275"/>
      <c r="G647" s="124" t="s">
        <v>33</v>
      </c>
      <c r="H647" s="124" t="s">
        <v>34</v>
      </c>
      <c r="I647" s="124" t="s">
        <v>35</v>
      </c>
      <c r="J647" s="124" t="s">
        <v>33</v>
      </c>
      <c r="K647" s="124" t="s">
        <v>34</v>
      </c>
    </row>
    <row r="648" spans="1:12" x14ac:dyDescent="0.25">
      <c r="A648" s="124"/>
      <c r="B648" s="22" t="s">
        <v>728</v>
      </c>
      <c r="C648" s="23">
        <v>4</v>
      </c>
      <c r="D648" s="23">
        <v>5.45</v>
      </c>
      <c r="E648" s="24"/>
      <c r="F648" s="23"/>
      <c r="G648" s="79"/>
      <c r="H648" s="26"/>
      <c r="I648" s="26">
        <v>21.8</v>
      </c>
      <c r="J648" s="26"/>
      <c r="K648" s="26"/>
    </row>
    <row r="649" spans="1:12" x14ac:dyDescent="0.25">
      <c r="A649" s="124"/>
      <c r="B649" s="22" t="s">
        <v>729</v>
      </c>
      <c r="C649" s="23">
        <v>2</v>
      </c>
      <c r="D649" s="23">
        <v>2.7</v>
      </c>
      <c r="E649" s="24"/>
      <c r="F649" s="23"/>
      <c r="G649" s="79"/>
      <c r="H649" s="26"/>
      <c r="I649" s="26">
        <v>5.4</v>
      </c>
      <c r="J649" s="26"/>
      <c r="K649" s="26"/>
    </row>
    <row r="650" spans="1:12" x14ac:dyDescent="0.25">
      <c r="A650" s="124"/>
      <c r="B650" s="22" t="s">
        <v>730</v>
      </c>
      <c r="C650" s="23">
        <v>4</v>
      </c>
      <c r="D650" s="23">
        <v>3.7</v>
      </c>
      <c r="E650" s="24"/>
      <c r="F650" s="23"/>
      <c r="G650" s="79"/>
      <c r="H650" s="26"/>
      <c r="I650" s="26">
        <v>14.8</v>
      </c>
      <c r="J650" s="26"/>
      <c r="K650" s="26"/>
    </row>
    <row r="651" spans="1:12" x14ac:dyDescent="0.25">
      <c r="A651" s="27"/>
      <c r="B651" s="28"/>
      <c r="C651" s="28"/>
      <c r="D651" s="28"/>
      <c r="E651" s="28"/>
      <c r="F651" s="272" t="s">
        <v>36</v>
      </c>
      <c r="G651" s="272"/>
      <c r="H651" s="272"/>
      <c r="I651" s="29">
        <v>42</v>
      </c>
      <c r="J651" s="29"/>
      <c r="K651" s="29"/>
    </row>
    <row r="652" spans="1:12" x14ac:dyDescent="0.25">
      <c r="A652" s="124"/>
      <c r="B652" s="273"/>
      <c r="C652" s="273"/>
      <c r="D652" s="273"/>
      <c r="E652" s="273"/>
      <c r="F652" s="273"/>
      <c r="G652" s="273"/>
      <c r="H652" s="273"/>
      <c r="I652" s="273"/>
      <c r="J652" s="273"/>
      <c r="K652" s="124"/>
    </row>
    <row r="653" spans="1:12" x14ac:dyDescent="0.25">
      <c r="A653" s="19" t="str">
        <f>'Lista de Serviços'!A265</f>
        <v>04.01.801</v>
      </c>
      <c r="B653" s="274" t="s">
        <v>711</v>
      </c>
      <c r="C653" s="274"/>
      <c r="D653" s="274"/>
      <c r="E653" s="274"/>
      <c r="F653" s="274"/>
      <c r="G653" s="274"/>
      <c r="H653" s="274"/>
      <c r="I653" s="274"/>
      <c r="J653" s="274"/>
      <c r="K653" s="20"/>
      <c r="L653" s="18" t="s">
        <v>1412</v>
      </c>
    </row>
    <row r="654" spans="1:12" x14ac:dyDescent="0.25">
      <c r="A654" s="275"/>
      <c r="B654" s="275"/>
      <c r="C654" s="21"/>
      <c r="D654" s="21"/>
      <c r="E654" s="21"/>
      <c r="F654" s="21"/>
      <c r="G654" s="275" t="s">
        <v>23</v>
      </c>
      <c r="H654" s="275"/>
      <c r="I654" s="275" t="s">
        <v>24</v>
      </c>
      <c r="J654" s="275"/>
      <c r="K654" s="275"/>
    </row>
    <row r="655" spans="1:12" x14ac:dyDescent="0.25">
      <c r="A655" s="275" t="s">
        <v>25</v>
      </c>
      <c r="B655" s="275"/>
      <c r="C655" s="275" t="s">
        <v>26</v>
      </c>
      <c r="D655" s="275" t="s">
        <v>27</v>
      </c>
      <c r="E655" s="275" t="s">
        <v>28</v>
      </c>
      <c r="F655" s="275" t="s">
        <v>29</v>
      </c>
      <c r="G655" s="124" t="s">
        <v>30</v>
      </c>
      <c r="H655" s="124" t="s">
        <v>31</v>
      </c>
      <c r="I655" s="124" t="s">
        <v>32</v>
      </c>
      <c r="J655" s="124" t="s">
        <v>30</v>
      </c>
      <c r="K655" s="124" t="s">
        <v>31</v>
      </c>
    </row>
    <row r="656" spans="1:12" x14ac:dyDescent="0.25">
      <c r="A656" s="275"/>
      <c r="B656" s="275"/>
      <c r="C656" s="275"/>
      <c r="D656" s="275"/>
      <c r="E656" s="275"/>
      <c r="F656" s="275"/>
      <c r="G656" s="124" t="s">
        <v>33</v>
      </c>
      <c r="H656" s="124" t="s">
        <v>34</v>
      </c>
      <c r="I656" s="124" t="s">
        <v>35</v>
      </c>
      <c r="J656" s="124" t="s">
        <v>33</v>
      </c>
      <c r="K656" s="124" t="s">
        <v>34</v>
      </c>
    </row>
    <row r="657" spans="1:12" x14ac:dyDescent="0.25">
      <c r="A657" s="124"/>
      <c r="B657" s="22" t="s">
        <v>712</v>
      </c>
      <c r="C657" s="23">
        <v>2.0579999999999998</v>
      </c>
      <c r="D657" s="23"/>
      <c r="E657" s="24"/>
      <c r="F657" s="23"/>
      <c r="G657" s="79">
        <v>7.9755999999999994E-2</v>
      </c>
      <c r="H657" s="26"/>
      <c r="I657" s="26"/>
      <c r="J657" s="26">
        <v>0.16413784799999998</v>
      </c>
      <c r="K657" s="26"/>
    </row>
    <row r="658" spans="1:12" x14ac:dyDescent="0.25">
      <c r="A658" s="27"/>
      <c r="B658" s="28"/>
      <c r="C658" s="28"/>
      <c r="D658" s="28"/>
      <c r="E658" s="28"/>
      <c r="F658" s="272" t="s">
        <v>36</v>
      </c>
      <c r="G658" s="272"/>
      <c r="H658" s="272"/>
      <c r="I658" s="29"/>
      <c r="J658" s="29">
        <v>0.16</v>
      </c>
      <c r="K658" s="29"/>
    </row>
    <row r="659" spans="1:12" x14ac:dyDescent="0.25">
      <c r="A659" s="124"/>
      <c r="B659" s="273"/>
      <c r="C659" s="273"/>
      <c r="D659" s="273"/>
      <c r="E659" s="273"/>
      <c r="F659" s="273"/>
      <c r="G659" s="273"/>
      <c r="H659" s="273"/>
      <c r="I659" s="273"/>
      <c r="J659" s="273"/>
      <c r="K659" s="124"/>
    </row>
    <row r="660" spans="1:12" x14ac:dyDescent="0.25">
      <c r="A660" s="19" t="str">
        <f>'Lista de Serviços'!A267</f>
        <v>04.01.802</v>
      </c>
      <c r="B660" s="274" t="str">
        <f>'Lista de Serviços'!B268</f>
        <v>Fornecimento de brise de alumínio,cor bege duna (ref. R85c), modelo colmeia, mal de 100mm, fabricante Refax ou similar</v>
      </c>
      <c r="C660" s="274"/>
      <c r="D660" s="274"/>
      <c r="E660" s="274"/>
      <c r="F660" s="274"/>
      <c r="G660" s="274"/>
      <c r="H660" s="274"/>
      <c r="I660" s="274"/>
      <c r="J660" s="274"/>
      <c r="K660" s="20"/>
      <c r="L660" s="18" t="s">
        <v>1412</v>
      </c>
    </row>
    <row r="661" spans="1:12" x14ac:dyDescent="0.25">
      <c r="A661" s="275"/>
      <c r="B661" s="275"/>
      <c r="C661" s="21"/>
      <c r="D661" s="21"/>
      <c r="E661" s="21"/>
      <c r="F661" s="21"/>
      <c r="G661" s="275" t="s">
        <v>23</v>
      </c>
      <c r="H661" s="275"/>
      <c r="I661" s="275" t="s">
        <v>24</v>
      </c>
      <c r="J661" s="275"/>
      <c r="K661" s="275"/>
    </row>
    <row r="662" spans="1:12" x14ac:dyDescent="0.25">
      <c r="A662" s="275" t="s">
        <v>25</v>
      </c>
      <c r="B662" s="275"/>
      <c r="C662" s="275" t="s">
        <v>26</v>
      </c>
      <c r="D662" s="275" t="s">
        <v>27</v>
      </c>
      <c r="E662" s="275" t="s">
        <v>28</v>
      </c>
      <c r="F662" s="275" t="s">
        <v>29</v>
      </c>
      <c r="G662" s="137" t="s">
        <v>30</v>
      </c>
      <c r="H662" s="137" t="s">
        <v>31</v>
      </c>
      <c r="I662" s="137" t="s">
        <v>32</v>
      </c>
      <c r="J662" s="137" t="s">
        <v>30</v>
      </c>
      <c r="K662" s="137" t="s">
        <v>31</v>
      </c>
    </row>
    <row r="663" spans="1:12" x14ac:dyDescent="0.25">
      <c r="A663" s="275"/>
      <c r="B663" s="275"/>
      <c r="C663" s="275"/>
      <c r="D663" s="275"/>
      <c r="E663" s="275"/>
      <c r="F663" s="275"/>
      <c r="G663" s="137" t="s">
        <v>33</v>
      </c>
      <c r="H663" s="137" t="s">
        <v>34</v>
      </c>
      <c r="I663" s="137" t="s">
        <v>35</v>
      </c>
      <c r="J663" s="137" t="s">
        <v>33</v>
      </c>
      <c r="K663" s="137" t="s">
        <v>34</v>
      </c>
    </row>
    <row r="664" spans="1:12" x14ac:dyDescent="0.25">
      <c r="A664" s="137"/>
      <c r="B664" s="22" t="s">
        <v>869</v>
      </c>
      <c r="C664" s="139">
        <v>3</v>
      </c>
      <c r="D664" s="139">
        <v>7.08</v>
      </c>
      <c r="E664" s="24"/>
      <c r="F664" s="139">
        <v>7.83</v>
      </c>
      <c r="G664" s="79">
        <v>55.436399999999999</v>
      </c>
      <c r="H664" s="26"/>
      <c r="I664" s="26"/>
      <c r="J664" s="26">
        <v>166.3092</v>
      </c>
      <c r="K664" s="26"/>
    </row>
    <row r="665" spans="1:12" x14ac:dyDescent="0.25">
      <c r="A665" s="141"/>
      <c r="B665" s="22" t="s">
        <v>870</v>
      </c>
      <c r="C665" s="143">
        <v>6</v>
      </c>
      <c r="D665" s="143">
        <v>7.13</v>
      </c>
      <c r="E665" s="24"/>
      <c r="F665" s="143">
        <v>7.83</v>
      </c>
      <c r="G665" s="79">
        <v>55.8279</v>
      </c>
      <c r="H665" s="26"/>
      <c r="I665" s="26"/>
      <c r="J665" s="26">
        <v>334.9674</v>
      </c>
      <c r="K665" s="26"/>
    </row>
    <row r="666" spans="1:12" x14ac:dyDescent="0.25">
      <c r="A666" s="137"/>
      <c r="B666" s="22" t="s">
        <v>871</v>
      </c>
      <c r="C666" s="139">
        <v>1</v>
      </c>
      <c r="D666" s="139">
        <v>7.08</v>
      </c>
      <c r="E666" s="24"/>
      <c r="F666" s="139">
        <v>3.73</v>
      </c>
      <c r="G666" s="79">
        <v>26.4084</v>
      </c>
      <c r="H666" s="26"/>
      <c r="I666" s="26"/>
      <c r="J666" s="26">
        <v>26.4084</v>
      </c>
      <c r="K666" s="26"/>
    </row>
    <row r="667" spans="1:12" x14ac:dyDescent="0.25">
      <c r="A667" s="138"/>
      <c r="B667" s="28"/>
      <c r="C667" s="28"/>
      <c r="D667" s="28"/>
      <c r="E667" s="28"/>
      <c r="F667" s="272" t="s">
        <v>36</v>
      </c>
      <c r="G667" s="272"/>
      <c r="H667" s="272"/>
      <c r="I667" s="29"/>
      <c r="J667" s="29">
        <v>527.69000000000005</v>
      </c>
      <c r="K667" s="29"/>
    </row>
    <row r="668" spans="1:12" x14ac:dyDescent="0.25">
      <c r="A668" s="137"/>
      <c r="B668" s="273"/>
      <c r="C668" s="273"/>
      <c r="D668" s="273"/>
      <c r="E668" s="273"/>
      <c r="F668" s="273"/>
      <c r="G668" s="273"/>
      <c r="H668" s="273"/>
      <c r="I668" s="273"/>
      <c r="J668" s="273"/>
      <c r="K668" s="137"/>
    </row>
    <row r="669" spans="1:12" x14ac:dyDescent="0.25">
      <c r="A669" s="19" t="str">
        <f>'Lista de Serviços'!A267</f>
        <v>04.01.802</v>
      </c>
      <c r="B669" s="274" t="str">
        <f>'Lista de Serviços'!B269</f>
        <v>Fornecimento de brise de alumínio, cor branca, modelo linear LC 100 60º, fabricante Refax ou similar</v>
      </c>
      <c r="C669" s="274"/>
      <c r="D669" s="274"/>
      <c r="E669" s="274"/>
      <c r="F669" s="274"/>
      <c r="G669" s="274"/>
      <c r="H669" s="274"/>
      <c r="I669" s="274"/>
      <c r="J669" s="274"/>
      <c r="K669" s="20"/>
      <c r="L669" s="18" t="s">
        <v>1412</v>
      </c>
    </row>
    <row r="670" spans="1:12" x14ac:dyDescent="0.25">
      <c r="A670" s="275"/>
      <c r="B670" s="275"/>
      <c r="C670" s="21"/>
      <c r="D670" s="21"/>
      <c r="E670" s="21"/>
      <c r="F670" s="21"/>
      <c r="G670" s="275" t="s">
        <v>23</v>
      </c>
      <c r="H670" s="275"/>
      <c r="I670" s="275" t="s">
        <v>24</v>
      </c>
      <c r="J670" s="275"/>
      <c r="K670" s="275"/>
    </row>
    <row r="671" spans="1:12" x14ac:dyDescent="0.25">
      <c r="A671" s="275" t="s">
        <v>25</v>
      </c>
      <c r="B671" s="275"/>
      <c r="C671" s="275" t="s">
        <v>26</v>
      </c>
      <c r="D671" s="275" t="s">
        <v>27</v>
      </c>
      <c r="E671" s="275" t="s">
        <v>28</v>
      </c>
      <c r="F671" s="275" t="s">
        <v>29</v>
      </c>
      <c r="G671" s="141" t="s">
        <v>30</v>
      </c>
      <c r="H671" s="141" t="s">
        <v>31</v>
      </c>
      <c r="I671" s="141" t="s">
        <v>32</v>
      </c>
      <c r="J671" s="141" t="s">
        <v>30</v>
      </c>
      <c r="K671" s="141" t="s">
        <v>31</v>
      </c>
    </row>
    <row r="672" spans="1:12" x14ac:dyDescent="0.25">
      <c r="A672" s="275"/>
      <c r="B672" s="275"/>
      <c r="C672" s="275"/>
      <c r="D672" s="275"/>
      <c r="E672" s="275"/>
      <c r="F672" s="275"/>
      <c r="G672" s="141" t="s">
        <v>33</v>
      </c>
      <c r="H672" s="141" t="s">
        <v>34</v>
      </c>
      <c r="I672" s="141" t="s">
        <v>35</v>
      </c>
      <c r="J672" s="141" t="s">
        <v>33</v>
      </c>
      <c r="K672" s="141" t="s">
        <v>34</v>
      </c>
    </row>
    <row r="673" spans="1:12" x14ac:dyDescent="0.25">
      <c r="A673" s="141"/>
      <c r="B673" s="22" t="s">
        <v>873</v>
      </c>
      <c r="C673" s="143">
        <v>2</v>
      </c>
      <c r="D673" s="143">
        <v>2</v>
      </c>
      <c r="E673" s="24"/>
      <c r="F673" s="143">
        <v>5.58</v>
      </c>
      <c r="G673" s="79">
        <v>11.16</v>
      </c>
      <c r="H673" s="26"/>
      <c r="I673" s="26"/>
      <c r="J673" s="26">
        <v>22.32</v>
      </c>
      <c r="K673" s="26"/>
    </row>
    <row r="674" spans="1:12" x14ac:dyDescent="0.25">
      <c r="A674" s="142"/>
      <c r="B674" s="28"/>
      <c r="C674" s="28"/>
      <c r="D674" s="28"/>
      <c r="E674" s="28"/>
      <c r="F674" s="272" t="s">
        <v>36</v>
      </c>
      <c r="G674" s="272"/>
      <c r="H674" s="272"/>
      <c r="I674" s="29"/>
      <c r="J674" s="29">
        <v>22.32</v>
      </c>
      <c r="K674" s="29"/>
    </row>
    <row r="675" spans="1:12" x14ac:dyDescent="0.25">
      <c r="A675" s="141"/>
      <c r="B675" s="273"/>
      <c r="C675" s="273"/>
      <c r="D675" s="273"/>
      <c r="E675" s="273"/>
      <c r="F675" s="273"/>
      <c r="G675" s="273"/>
      <c r="H675" s="273"/>
      <c r="I675" s="273"/>
      <c r="J675" s="273"/>
      <c r="K675" s="141"/>
    </row>
    <row r="676" spans="1:12" ht="25.5" customHeight="1" x14ac:dyDescent="0.25">
      <c r="A676" s="19" t="str">
        <f>'Lista de Serviços'!A271</f>
        <v>04.01.803</v>
      </c>
      <c r="B676" s="274" t="str">
        <f>'Lista de Serviços'!B272</f>
        <v>Guarda-corpo reto com fechamento em tela quadriculada ondulada, montantes em barras chatas de aço galvanizado, exceto corrimãos, inclusive pintura, conforme projeto (GC1, GC6, GC7, GC8, GC9 e Patamar Escada 2)</v>
      </c>
      <c r="C676" s="274"/>
      <c r="D676" s="274"/>
      <c r="E676" s="274"/>
      <c r="F676" s="274"/>
      <c r="G676" s="274"/>
      <c r="H676" s="274"/>
      <c r="I676" s="274"/>
      <c r="J676" s="274"/>
      <c r="K676" s="20"/>
      <c r="L676" s="18" t="s">
        <v>1412</v>
      </c>
    </row>
    <row r="677" spans="1:12" x14ac:dyDescent="0.25">
      <c r="A677" s="275"/>
      <c r="B677" s="275"/>
      <c r="C677" s="21"/>
      <c r="D677" s="21"/>
      <c r="E677" s="21"/>
      <c r="F677" s="21"/>
      <c r="G677" s="275" t="s">
        <v>23</v>
      </c>
      <c r="H677" s="275"/>
      <c r="I677" s="275" t="s">
        <v>24</v>
      </c>
      <c r="J677" s="275"/>
      <c r="K677" s="275"/>
    </row>
    <row r="678" spans="1:12" x14ac:dyDescent="0.25">
      <c r="A678" s="275" t="s">
        <v>25</v>
      </c>
      <c r="B678" s="275"/>
      <c r="C678" s="275" t="s">
        <v>26</v>
      </c>
      <c r="D678" s="275" t="s">
        <v>27</v>
      </c>
      <c r="E678" s="275" t="s">
        <v>28</v>
      </c>
      <c r="F678" s="275" t="s">
        <v>29</v>
      </c>
      <c r="G678" s="150" t="s">
        <v>30</v>
      </c>
      <c r="H678" s="150" t="s">
        <v>31</v>
      </c>
      <c r="I678" s="150" t="s">
        <v>32</v>
      </c>
      <c r="J678" s="150" t="s">
        <v>30</v>
      </c>
      <c r="K678" s="150" t="s">
        <v>31</v>
      </c>
    </row>
    <row r="679" spans="1:12" x14ac:dyDescent="0.25">
      <c r="A679" s="275"/>
      <c r="B679" s="275"/>
      <c r="C679" s="275"/>
      <c r="D679" s="275"/>
      <c r="E679" s="275"/>
      <c r="F679" s="275"/>
      <c r="G679" s="150" t="s">
        <v>33</v>
      </c>
      <c r="H679" s="150" t="s">
        <v>34</v>
      </c>
      <c r="I679" s="150" t="s">
        <v>35</v>
      </c>
      <c r="J679" s="150" t="s">
        <v>33</v>
      </c>
      <c r="K679" s="150" t="s">
        <v>34</v>
      </c>
    </row>
    <row r="680" spans="1:12" x14ac:dyDescent="0.25">
      <c r="A680" s="150"/>
      <c r="B680" s="22" t="s">
        <v>718</v>
      </c>
      <c r="C680" s="152">
        <v>1</v>
      </c>
      <c r="D680" s="152">
        <v>2.7</v>
      </c>
      <c r="E680" s="24"/>
      <c r="F680" s="152"/>
      <c r="G680" s="79"/>
      <c r="H680" s="26"/>
      <c r="I680" s="26">
        <v>2.7</v>
      </c>
      <c r="J680" s="26"/>
      <c r="K680" s="26"/>
    </row>
    <row r="681" spans="1:12" x14ac:dyDescent="0.25">
      <c r="A681" s="150"/>
      <c r="B681" s="22" t="s">
        <v>719</v>
      </c>
      <c r="C681" s="152">
        <v>1</v>
      </c>
      <c r="D681" s="152">
        <v>4.1399999999999997</v>
      </c>
      <c r="E681" s="24"/>
      <c r="F681" s="152"/>
      <c r="G681" s="79"/>
      <c r="H681" s="26"/>
      <c r="I681" s="26">
        <v>4.1399999999999997</v>
      </c>
      <c r="J681" s="26"/>
      <c r="K681" s="26"/>
    </row>
    <row r="682" spans="1:12" x14ac:dyDescent="0.25">
      <c r="A682" s="150"/>
      <c r="B682" s="22" t="s">
        <v>720</v>
      </c>
      <c r="C682" s="152">
        <v>1</v>
      </c>
      <c r="D682" s="152">
        <v>1.65</v>
      </c>
      <c r="E682" s="24"/>
      <c r="F682" s="152"/>
      <c r="G682" s="79"/>
      <c r="H682" s="26"/>
      <c r="I682" s="26">
        <v>1.65</v>
      </c>
      <c r="J682" s="26"/>
      <c r="K682" s="26"/>
    </row>
    <row r="683" spans="1:12" x14ac:dyDescent="0.25">
      <c r="A683" s="150"/>
      <c r="B683" s="22" t="s">
        <v>721</v>
      </c>
      <c r="C683" s="152">
        <v>1</v>
      </c>
      <c r="D683" s="152">
        <v>0.15</v>
      </c>
      <c r="E683" s="24"/>
      <c r="F683" s="152"/>
      <c r="G683" s="79"/>
      <c r="H683" s="26"/>
      <c r="I683" s="26">
        <v>0.15</v>
      </c>
      <c r="J683" s="26"/>
      <c r="K683" s="26"/>
    </row>
    <row r="684" spans="1:12" x14ac:dyDescent="0.25">
      <c r="A684" s="150"/>
      <c r="B684" s="22" t="s">
        <v>722</v>
      </c>
      <c r="C684" s="152">
        <v>1</v>
      </c>
      <c r="D684" s="152">
        <v>1.45</v>
      </c>
      <c r="E684" s="24"/>
      <c r="F684" s="152"/>
      <c r="G684" s="79"/>
      <c r="H684" s="26"/>
      <c r="I684" s="26">
        <v>1.45</v>
      </c>
      <c r="J684" s="26"/>
      <c r="K684" s="26"/>
    </row>
    <row r="685" spans="1:12" x14ac:dyDescent="0.25">
      <c r="A685" s="150"/>
      <c r="B685" s="22" t="s">
        <v>723</v>
      </c>
      <c r="C685" s="152">
        <v>1</v>
      </c>
      <c r="D685" s="152">
        <v>2.7</v>
      </c>
      <c r="E685" s="24"/>
      <c r="F685" s="152"/>
      <c r="G685" s="79"/>
      <c r="H685" s="26"/>
      <c r="I685" s="26">
        <v>2.7</v>
      </c>
      <c r="J685" s="26"/>
      <c r="K685" s="26"/>
    </row>
    <row r="686" spans="1:12" x14ac:dyDescent="0.25">
      <c r="A686" s="151"/>
      <c r="B686" s="28"/>
      <c r="C686" s="28"/>
      <c r="D686" s="28"/>
      <c r="E686" s="28"/>
      <c r="F686" s="272" t="s">
        <v>36</v>
      </c>
      <c r="G686" s="272"/>
      <c r="H686" s="272"/>
      <c r="I686" s="29">
        <v>12.79</v>
      </c>
      <c r="J686" s="29"/>
      <c r="K686" s="29"/>
    </row>
    <row r="687" spans="1:12" x14ac:dyDescent="0.25">
      <c r="A687" s="150"/>
      <c r="B687" s="273"/>
      <c r="C687" s="273"/>
      <c r="D687" s="273"/>
      <c r="E687" s="273"/>
      <c r="F687" s="273"/>
      <c r="G687" s="273"/>
      <c r="H687" s="273"/>
      <c r="I687" s="273"/>
      <c r="J687" s="273"/>
      <c r="K687" s="150"/>
    </row>
    <row r="688" spans="1:12" ht="25.5" customHeight="1" x14ac:dyDescent="0.25">
      <c r="A688" s="19" t="str">
        <f>'Lista de Serviços'!A271</f>
        <v>04.01.803</v>
      </c>
      <c r="B688" s="274" t="str">
        <f>'Lista de Serviços'!B273</f>
        <v>Guarda-corpo com trechos inclinado e reto, com fechamento em tela quadriculada ondulada, montantes em barras chatas de aço galvanizado, exceto corrimãos, inclusive pintura, conforme projeto (GC2 e GC5)</v>
      </c>
      <c r="C688" s="274"/>
      <c r="D688" s="274"/>
      <c r="E688" s="274"/>
      <c r="F688" s="274"/>
      <c r="G688" s="274"/>
      <c r="H688" s="274"/>
      <c r="I688" s="274"/>
      <c r="J688" s="274"/>
      <c r="K688" s="20"/>
      <c r="L688" s="18" t="s">
        <v>1412</v>
      </c>
    </row>
    <row r="689" spans="1:12" x14ac:dyDescent="0.25">
      <c r="A689" s="275"/>
      <c r="B689" s="275"/>
      <c r="C689" s="21"/>
      <c r="D689" s="21"/>
      <c r="E689" s="21"/>
      <c r="F689" s="21"/>
      <c r="G689" s="275" t="s">
        <v>23</v>
      </c>
      <c r="H689" s="275"/>
      <c r="I689" s="275" t="s">
        <v>24</v>
      </c>
      <c r="J689" s="275"/>
      <c r="K689" s="275"/>
    </row>
    <row r="690" spans="1:12" x14ac:dyDescent="0.25">
      <c r="A690" s="275" t="s">
        <v>25</v>
      </c>
      <c r="B690" s="275"/>
      <c r="C690" s="275" t="s">
        <v>26</v>
      </c>
      <c r="D690" s="275" t="s">
        <v>27</v>
      </c>
      <c r="E690" s="275" t="s">
        <v>28</v>
      </c>
      <c r="F690" s="275" t="s">
        <v>29</v>
      </c>
      <c r="G690" s="124" t="s">
        <v>30</v>
      </c>
      <c r="H690" s="124" t="s">
        <v>31</v>
      </c>
      <c r="I690" s="124" t="s">
        <v>32</v>
      </c>
      <c r="J690" s="124" t="s">
        <v>30</v>
      </c>
      <c r="K690" s="124" t="s">
        <v>31</v>
      </c>
    </row>
    <row r="691" spans="1:12" x14ac:dyDescent="0.25">
      <c r="A691" s="275"/>
      <c r="B691" s="275"/>
      <c r="C691" s="275"/>
      <c r="D691" s="275"/>
      <c r="E691" s="275"/>
      <c r="F691" s="275"/>
      <c r="G691" s="124" t="s">
        <v>33</v>
      </c>
      <c r="H691" s="124" t="s">
        <v>34</v>
      </c>
      <c r="I691" s="124" t="s">
        <v>35</v>
      </c>
      <c r="J691" s="124" t="s">
        <v>33</v>
      </c>
      <c r="K691" s="124" t="s">
        <v>34</v>
      </c>
    </row>
    <row r="692" spans="1:12" x14ac:dyDescent="0.25">
      <c r="A692" s="124"/>
      <c r="B692" s="22" t="s">
        <v>724</v>
      </c>
      <c r="C692" s="23">
        <v>2</v>
      </c>
      <c r="D692" s="23">
        <v>5.3</v>
      </c>
      <c r="E692" s="24"/>
      <c r="F692" s="23"/>
      <c r="G692" s="79"/>
      <c r="H692" s="26"/>
      <c r="I692" s="26">
        <v>10.6</v>
      </c>
      <c r="J692" s="26"/>
      <c r="K692" s="26"/>
    </row>
    <row r="693" spans="1:12" x14ac:dyDescent="0.25">
      <c r="A693" s="124"/>
      <c r="B693" s="22" t="s">
        <v>725</v>
      </c>
      <c r="C693" s="23">
        <v>1</v>
      </c>
      <c r="D693" s="23">
        <v>5.3</v>
      </c>
      <c r="E693" s="24"/>
      <c r="F693" s="23"/>
      <c r="G693" s="79"/>
      <c r="H693" s="26"/>
      <c r="I693" s="26">
        <v>5.3</v>
      </c>
      <c r="J693" s="26"/>
      <c r="K693" s="26"/>
    </row>
    <row r="694" spans="1:12" x14ac:dyDescent="0.25">
      <c r="A694" s="27"/>
      <c r="B694" s="28"/>
      <c r="C694" s="28"/>
      <c r="D694" s="28"/>
      <c r="E694" s="28"/>
      <c r="F694" s="272" t="s">
        <v>36</v>
      </c>
      <c r="G694" s="272"/>
      <c r="H694" s="272"/>
      <c r="I694" s="29">
        <v>15.9</v>
      </c>
      <c r="J694" s="29"/>
      <c r="K694" s="29"/>
    </row>
    <row r="695" spans="1:12" x14ac:dyDescent="0.25">
      <c r="A695" s="124"/>
      <c r="B695" s="273"/>
      <c r="C695" s="273"/>
      <c r="D695" s="273"/>
      <c r="E695" s="273"/>
      <c r="F695" s="273"/>
      <c r="G695" s="273"/>
      <c r="H695" s="273"/>
      <c r="I695" s="273"/>
      <c r="J695" s="273"/>
      <c r="K695" s="124"/>
    </row>
    <row r="696" spans="1:12" ht="27" customHeight="1" x14ac:dyDescent="0.25">
      <c r="A696" s="19" t="str">
        <f>'Lista de Serviços'!A271</f>
        <v>04.01.803</v>
      </c>
      <c r="B696" s="274" t="str">
        <f>'Lista de Serviços'!B274</f>
        <v>Guarda-corpo inclinado com fechamento em tela quadriculada ondulada, montantes em barras chatas de aço galvanizado, exceto corrimãos, inclusive pintura, conforme projeto (GC3 e GC4)</v>
      </c>
      <c r="C696" s="274"/>
      <c r="D696" s="274"/>
      <c r="E696" s="274"/>
      <c r="F696" s="274"/>
      <c r="G696" s="274"/>
      <c r="H696" s="274"/>
      <c r="I696" s="274"/>
      <c r="J696" s="274"/>
      <c r="K696" s="20"/>
      <c r="L696" s="18" t="s">
        <v>1412</v>
      </c>
    </row>
    <row r="697" spans="1:12" x14ac:dyDescent="0.25">
      <c r="A697" s="275"/>
      <c r="B697" s="275"/>
      <c r="C697" s="21"/>
      <c r="D697" s="21"/>
      <c r="E697" s="21"/>
      <c r="F697" s="21"/>
      <c r="G697" s="275" t="s">
        <v>23</v>
      </c>
      <c r="H697" s="275"/>
      <c r="I697" s="275" t="s">
        <v>24</v>
      </c>
      <c r="J697" s="275"/>
      <c r="K697" s="275"/>
    </row>
    <row r="698" spans="1:12" x14ac:dyDescent="0.25">
      <c r="A698" s="275" t="s">
        <v>25</v>
      </c>
      <c r="B698" s="275"/>
      <c r="C698" s="275" t="s">
        <v>26</v>
      </c>
      <c r="D698" s="275" t="s">
        <v>27</v>
      </c>
      <c r="E698" s="275" t="s">
        <v>28</v>
      </c>
      <c r="F698" s="275" t="s">
        <v>29</v>
      </c>
      <c r="G698" s="124" t="s">
        <v>30</v>
      </c>
      <c r="H698" s="124" t="s">
        <v>31</v>
      </c>
      <c r="I698" s="124" t="s">
        <v>32</v>
      </c>
      <c r="J698" s="124" t="s">
        <v>30</v>
      </c>
      <c r="K698" s="124" t="s">
        <v>31</v>
      </c>
    </row>
    <row r="699" spans="1:12" x14ac:dyDescent="0.25">
      <c r="A699" s="275"/>
      <c r="B699" s="275"/>
      <c r="C699" s="275"/>
      <c r="D699" s="275"/>
      <c r="E699" s="275"/>
      <c r="F699" s="275"/>
      <c r="G699" s="124" t="s">
        <v>33</v>
      </c>
      <c r="H699" s="124" t="s">
        <v>34</v>
      </c>
      <c r="I699" s="124" t="s">
        <v>35</v>
      </c>
      <c r="J699" s="124" t="s">
        <v>33</v>
      </c>
      <c r="K699" s="124" t="s">
        <v>34</v>
      </c>
    </row>
    <row r="700" spans="1:12" x14ac:dyDescent="0.25">
      <c r="A700" s="124"/>
      <c r="B700" s="22" t="s">
        <v>726</v>
      </c>
      <c r="C700" s="23">
        <v>2</v>
      </c>
      <c r="D700" s="23">
        <v>4.25</v>
      </c>
      <c r="E700" s="24"/>
      <c r="F700" s="23"/>
      <c r="G700" s="79"/>
      <c r="H700" s="26"/>
      <c r="I700" s="26">
        <v>8.5</v>
      </c>
      <c r="J700" s="26"/>
      <c r="K700" s="26"/>
    </row>
    <row r="701" spans="1:12" x14ac:dyDescent="0.25">
      <c r="A701" s="124"/>
      <c r="B701" s="22" t="s">
        <v>727</v>
      </c>
      <c r="C701" s="23">
        <v>1</v>
      </c>
      <c r="D701" s="23">
        <v>4.25</v>
      </c>
      <c r="E701" s="24"/>
      <c r="F701" s="23"/>
      <c r="G701" s="79"/>
      <c r="H701" s="26"/>
      <c r="I701" s="26">
        <v>4.25</v>
      </c>
      <c r="J701" s="26"/>
      <c r="K701" s="26"/>
    </row>
    <row r="702" spans="1:12" x14ac:dyDescent="0.25">
      <c r="A702" s="27"/>
      <c r="B702" s="28"/>
      <c r="C702" s="28"/>
      <c r="D702" s="28"/>
      <c r="E702" s="28"/>
      <c r="F702" s="272" t="s">
        <v>36</v>
      </c>
      <c r="G702" s="272"/>
      <c r="H702" s="272"/>
      <c r="I702" s="29">
        <v>12.75</v>
      </c>
      <c r="J702" s="29"/>
      <c r="K702" s="29"/>
    </row>
    <row r="703" spans="1:12" x14ac:dyDescent="0.25">
      <c r="A703" s="124"/>
      <c r="B703" s="273"/>
      <c r="C703" s="273"/>
      <c r="D703" s="273"/>
      <c r="E703" s="273"/>
      <c r="F703" s="273"/>
      <c r="G703" s="273"/>
      <c r="H703" s="273"/>
      <c r="I703" s="273"/>
      <c r="J703" s="273"/>
      <c r="K703" s="124"/>
    </row>
    <row r="704" spans="1:12" x14ac:dyDescent="0.25">
      <c r="A704" s="19" t="str">
        <f>'Lista de Serviços'!A271</f>
        <v>04.01.803</v>
      </c>
      <c r="B704" s="274" t="s">
        <v>704</v>
      </c>
      <c r="C704" s="274"/>
      <c r="D704" s="274"/>
      <c r="E704" s="274"/>
      <c r="F704" s="274"/>
      <c r="G704" s="274"/>
      <c r="H704" s="274"/>
      <c r="I704" s="274"/>
      <c r="J704" s="274"/>
      <c r="K704" s="20"/>
      <c r="L704" s="18" t="s">
        <v>1412</v>
      </c>
    </row>
    <row r="705" spans="1:12" x14ac:dyDescent="0.25">
      <c r="A705" s="275"/>
      <c r="B705" s="275"/>
      <c r="C705" s="21"/>
      <c r="D705" s="21"/>
      <c r="E705" s="21"/>
      <c r="F705" s="21"/>
      <c r="G705" s="275" t="s">
        <v>23</v>
      </c>
      <c r="H705" s="275"/>
      <c r="I705" s="275" t="s">
        <v>24</v>
      </c>
      <c r="J705" s="275"/>
      <c r="K705" s="275"/>
    </row>
    <row r="706" spans="1:12" x14ac:dyDescent="0.25">
      <c r="A706" s="275" t="s">
        <v>25</v>
      </c>
      <c r="B706" s="275"/>
      <c r="C706" s="275" t="s">
        <v>26</v>
      </c>
      <c r="D706" s="275" t="s">
        <v>27</v>
      </c>
      <c r="E706" s="275" t="s">
        <v>28</v>
      </c>
      <c r="F706" s="275" t="s">
        <v>29</v>
      </c>
      <c r="G706" s="122" t="s">
        <v>30</v>
      </c>
      <c r="H706" s="122" t="s">
        <v>31</v>
      </c>
      <c r="I706" s="122" t="s">
        <v>32</v>
      </c>
      <c r="J706" s="122" t="s">
        <v>30</v>
      </c>
      <c r="K706" s="122" t="s">
        <v>31</v>
      </c>
    </row>
    <row r="707" spans="1:12" x14ac:dyDescent="0.25">
      <c r="A707" s="275"/>
      <c r="B707" s="275"/>
      <c r="C707" s="275"/>
      <c r="D707" s="275"/>
      <c r="E707" s="275"/>
      <c r="F707" s="275"/>
      <c r="G707" s="122" t="s">
        <v>33</v>
      </c>
      <c r="H707" s="122" t="s">
        <v>34</v>
      </c>
      <c r="I707" s="122" t="s">
        <v>35</v>
      </c>
      <c r="J707" s="122" t="s">
        <v>33</v>
      </c>
      <c r="K707" s="122" t="s">
        <v>34</v>
      </c>
    </row>
    <row r="708" spans="1:12" x14ac:dyDescent="0.25">
      <c r="A708" s="122"/>
      <c r="B708" s="22" t="s">
        <v>700</v>
      </c>
      <c r="C708" s="23">
        <v>4</v>
      </c>
      <c r="D708" s="23"/>
      <c r="E708" s="24"/>
      <c r="F708" s="23"/>
      <c r="G708" s="79">
        <v>5.7759999999999999E-3</v>
      </c>
      <c r="H708" s="26"/>
      <c r="I708" s="26"/>
      <c r="J708" s="26">
        <v>2.3104E-2</v>
      </c>
      <c r="K708" s="26"/>
    </row>
    <row r="709" spans="1:12" x14ac:dyDescent="0.25">
      <c r="A709" s="122"/>
      <c r="B709" s="22" t="s">
        <v>701</v>
      </c>
      <c r="C709" s="23">
        <v>2</v>
      </c>
      <c r="D709" s="23"/>
      <c r="E709" s="24"/>
      <c r="F709" s="23"/>
      <c r="G709" s="79">
        <v>2.6880000000000002</v>
      </c>
      <c r="H709" s="26"/>
      <c r="I709" s="26"/>
      <c r="J709" s="26">
        <v>5.3760000000000003</v>
      </c>
      <c r="K709" s="26"/>
    </row>
    <row r="710" spans="1:12" x14ac:dyDescent="0.25">
      <c r="A710" s="122"/>
      <c r="B710" s="22" t="s">
        <v>702</v>
      </c>
      <c r="C710" s="23">
        <v>11.375999999999999</v>
      </c>
      <c r="D710" s="23"/>
      <c r="E710" s="24"/>
      <c r="F710" s="23"/>
      <c r="G710" s="79">
        <v>0.06</v>
      </c>
      <c r="H710" s="26"/>
      <c r="I710" s="26"/>
      <c r="J710" s="26">
        <v>0.68255999999999994</v>
      </c>
      <c r="K710" s="26"/>
    </row>
    <row r="711" spans="1:12" x14ac:dyDescent="0.25">
      <c r="A711" s="122"/>
      <c r="B711" s="22" t="s">
        <v>703</v>
      </c>
      <c r="C711" s="23">
        <v>6.6</v>
      </c>
      <c r="D711" s="23"/>
      <c r="E711" s="24"/>
      <c r="F711" s="23"/>
      <c r="G711" s="79">
        <v>0.08</v>
      </c>
      <c r="H711" s="26"/>
      <c r="I711" s="26"/>
      <c r="J711" s="26">
        <v>0.52800000000000002</v>
      </c>
      <c r="K711" s="26"/>
    </row>
    <row r="712" spans="1:12" x14ac:dyDescent="0.25">
      <c r="A712" s="27"/>
      <c r="B712" s="28"/>
      <c r="C712" s="28"/>
      <c r="D712" s="28"/>
      <c r="E712" s="28"/>
      <c r="F712" s="272" t="s">
        <v>36</v>
      </c>
      <c r="G712" s="272"/>
      <c r="H712" s="272"/>
      <c r="I712" s="29"/>
      <c r="J712" s="29">
        <v>6.61</v>
      </c>
      <c r="K712" s="29"/>
    </row>
    <row r="713" spans="1:12" x14ac:dyDescent="0.25">
      <c r="A713" s="122"/>
      <c r="B713" s="273"/>
      <c r="C713" s="273"/>
      <c r="D713" s="273"/>
      <c r="E713" s="273"/>
      <c r="F713" s="273"/>
      <c r="G713" s="273"/>
      <c r="H713" s="273"/>
      <c r="I713" s="273"/>
      <c r="J713" s="273"/>
      <c r="K713" s="122"/>
    </row>
    <row r="714" spans="1:12" x14ac:dyDescent="0.25">
      <c r="A714" s="19" t="str">
        <f>'Lista de Serviços'!A271</f>
        <v>04.01.803</v>
      </c>
      <c r="B714" s="274" t="s">
        <v>705</v>
      </c>
      <c r="C714" s="274"/>
      <c r="D714" s="274"/>
      <c r="E714" s="274"/>
      <c r="F714" s="274"/>
      <c r="G714" s="274"/>
      <c r="H714" s="274"/>
      <c r="I714" s="274"/>
      <c r="J714" s="274"/>
      <c r="K714" s="20"/>
      <c r="L714" s="18" t="s">
        <v>1412</v>
      </c>
    </row>
    <row r="715" spans="1:12" x14ac:dyDescent="0.25">
      <c r="A715" s="275"/>
      <c r="B715" s="275"/>
      <c r="C715" s="21"/>
      <c r="D715" s="21"/>
      <c r="E715" s="21"/>
      <c r="F715" s="21"/>
      <c r="G715" s="275" t="s">
        <v>23</v>
      </c>
      <c r="H715" s="275"/>
      <c r="I715" s="275" t="s">
        <v>24</v>
      </c>
      <c r="J715" s="275"/>
      <c r="K715" s="275"/>
    </row>
    <row r="716" spans="1:12" x14ac:dyDescent="0.25">
      <c r="A716" s="275" t="s">
        <v>25</v>
      </c>
      <c r="B716" s="275"/>
      <c r="C716" s="275" t="s">
        <v>26</v>
      </c>
      <c r="D716" s="275" t="s">
        <v>27</v>
      </c>
      <c r="E716" s="275" t="s">
        <v>28</v>
      </c>
      <c r="F716" s="275" t="s">
        <v>29</v>
      </c>
      <c r="G716" s="122" t="s">
        <v>30</v>
      </c>
      <c r="H716" s="122" t="s">
        <v>31</v>
      </c>
      <c r="I716" s="122" t="s">
        <v>32</v>
      </c>
      <c r="J716" s="122" t="s">
        <v>30</v>
      </c>
      <c r="K716" s="122" t="s">
        <v>31</v>
      </c>
    </row>
    <row r="717" spans="1:12" x14ac:dyDescent="0.25">
      <c r="A717" s="275"/>
      <c r="B717" s="275"/>
      <c r="C717" s="275"/>
      <c r="D717" s="275"/>
      <c r="E717" s="275"/>
      <c r="F717" s="275"/>
      <c r="G717" s="122" t="s">
        <v>33</v>
      </c>
      <c r="H717" s="122" t="s">
        <v>34</v>
      </c>
      <c r="I717" s="122" t="s">
        <v>35</v>
      </c>
      <c r="J717" s="122" t="s">
        <v>33</v>
      </c>
      <c r="K717" s="122" t="s">
        <v>34</v>
      </c>
    </row>
    <row r="718" spans="1:12" x14ac:dyDescent="0.25">
      <c r="A718" s="122"/>
      <c r="B718" s="22" t="s">
        <v>700</v>
      </c>
      <c r="C718" s="23">
        <v>6</v>
      </c>
      <c r="D718" s="23"/>
      <c r="E718" s="24"/>
      <c r="F718" s="23"/>
      <c r="G718" s="79">
        <v>5.7759999999999999E-3</v>
      </c>
      <c r="H718" s="26"/>
      <c r="I718" s="26"/>
      <c r="J718" s="26">
        <v>3.4655999999999999E-2</v>
      </c>
      <c r="K718" s="26"/>
    </row>
    <row r="719" spans="1:12" x14ac:dyDescent="0.25">
      <c r="A719" s="122"/>
      <c r="B719" s="22" t="s">
        <v>701</v>
      </c>
      <c r="C719" s="23">
        <v>2</v>
      </c>
      <c r="D719" s="23"/>
      <c r="E719" s="24"/>
      <c r="F719" s="23"/>
      <c r="G719" s="79">
        <v>4.2</v>
      </c>
      <c r="H719" s="26"/>
      <c r="I719" s="26"/>
      <c r="J719" s="26">
        <v>8.4</v>
      </c>
      <c r="K719" s="26"/>
    </row>
    <row r="720" spans="1:12" x14ac:dyDescent="0.25">
      <c r="A720" s="122"/>
      <c r="B720" s="22" t="s">
        <v>702</v>
      </c>
      <c r="C720" s="23">
        <v>19.36</v>
      </c>
      <c r="D720" s="23"/>
      <c r="E720" s="24"/>
      <c r="F720" s="23"/>
      <c r="G720" s="79">
        <v>0.06</v>
      </c>
      <c r="H720" s="26"/>
      <c r="I720" s="26"/>
      <c r="J720" s="26">
        <v>1.1616</v>
      </c>
      <c r="K720" s="26"/>
    </row>
    <row r="721" spans="1:12" x14ac:dyDescent="0.25">
      <c r="A721" s="122"/>
      <c r="B721" s="22" t="s">
        <v>703</v>
      </c>
      <c r="C721" s="23">
        <v>11</v>
      </c>
      <c r="D721" s="23"/>
      <c r="E721" s="24"/>
      <c r="F721" s="23"/>
      <c r="G721" s="79">
        <v>0.08</v>
      </c>
      <c r="H721" s="26"/>
      <c r="I721" s="26"/>
      <c r="J721" s="26">
        <v>0.88</v>
      </c>
      <c r="K721" s="26"/>
    </row>
    <row r="722" spans="1:12" x14ac:dyDescent="0.25">
      <c r="A722" s="27"/>
      <c r="B722" s="28"/>
      <c r="C722" s="28"/>
      <c r="D722" s="28"/>
      <c r="E722" s="28"/>
      <c r="F722" s="272" t="s">
        <v>36</v>
      </c>
      <c r="G722" s="272"/>
      <c r="H722" s="272"/>
      <c r="I722" s="29"/>
      <c r="J722" s="29">
        <v>10.48</v>
      </c>
      <c r="K722" s="29"/>
    </row>
    <row r="723" spans="1:12" x14ac:dyDescent="0.25">
      <c r="A723" s="122"/>
      <c r="B723" s="273"/>
      <c r="C723" s="273"/>
      <c r="D723" s="273"/>
      <c r="E723" s="273"/>
      <c r="F723" s="273"/>
      <c r="G723" s="273"/>
      <c r="H723" s="273"/>
      <c r="I723" s="273"/>
      <c r="J723" s="273"/>
      <c r="K723" s="122"/>
    </row>
    <row r="724" spans="1:12" x14ac:dyDescent="0.25">
      <c r="A724" s="19" t="str">
        <f>'Lista de Serviços'!A271</f>
        <v>04.01.803</v>
      </c>
      <c r="B724" s="274" t="s">
        <v>707</v>
      </c>
      <c r="C724" s="274"/>
      <c r="D724" s="274"/>
      <c r="E724" s="274"/>
      <c r="F724" s="274"/>
      <c r="G724" s="274"/>
      <c r="H724" s="274"/>
      <c r="I724" s="274"/>
      <c r="J724" s="274"/>
      <c r="K724" s="20"/>
      <c r="L724" s="18" t="s">
        <v>1412</v>
      </c>
    </row>
    <row r="725" spans="1:12" x14ac:dyDescent="0.25">
      <c r="A725" s="275"/>
      <c r="B725" s="275"/>
      <c r="C725" s="21"/>
      <c r="D725" s="21"/>
      <c r="E725" s="21"/>
      <c r="F725" s="21"/>
      <c r="G725" s="275" t="s">
        <v>23</v>
      </c>
      <c r="H725" s="275"/>
      <c r="I725" s="275" t="s">
        <v>24</v>
      </c>
      <c r="J725" s="275"/>
      <c r="K725" s="275"/>
    </row>
    <row r="726" spans="1:12" x14ac:dyDescent="0.25">
      <c r="A726" s="275" t="s">
        <v>25</v>
      </c>
      <c r="B726" s="275"/>
      <c r="C726" s="275" t="s">
        <v>26</v>
      </c>
      <c r="D726" s="275" t="s">
        <v>27</v>
      </c>
      <c r="E726" s="275" t="s">
        <v>28</v>
      </c>
      <c r="F726" s="275" t="s">
        <v>29</v>
      </c>
      <c r="G726" s="123" t="s">
        <v>30</v>
      </c>
      <c r="H726" s="123" t="s">
        <v>31</v>
      </c>
      <c r="I726" s="123" t="s">
        <v>32</v>
      </c>
      <c r="J726" s="123" t="s">
        <v>30</v>
      </c>
      <c r="K726" s="123" t="s">
        <v>31</v>
      </c>
    </row>
    <row r="727" spans="1:12" x14ac:dyDescent="0.25">
      <c r="A727" s="275"/>
      <c r="B727" s="275"/>
      <c r="C727" s="275"/>
      <c r="D727" s="275"/>
      <c r="E727" s="275"/>
      <c r="F727" s="275"/>
      <c r="G727" s="123" t="s">
        <v>33</v>
      </c>
      <c r="H727" s="123" t="s">
        <v>34</v>
      </c>
      <c r="I727" s="123" t="s">
        <v>35</v>
      </c>
      <c r="J727" s="123" t="s">
        <v>33</v>
      </c>
      <c r="K727" s="123" t="s">
        <v>34</v>
      </c>
    </row>
    <row r="728" spans="1:12" x14ac:dyDescent="0.25">
      <c r="A728" s="123"/>
      <c r="B728" s="22" t="s">
        <v>700</v>
      </c>
      <c r="C728" s="23">
        <v>5</v>
      </c>
      <c r="D728" s="23"/>
      <c r="E728" s="24"/>
      <c r="F728" s="23"/>
      <c r="G728" s="79">
        <v>5.7759999999999999E-3</v>
      </c>
      <c r="H728" s="26"/>
      <c r="I728" s="26"/>
      <c r="J728" s="26">
        <v>2.8879999999999999E-2</v>
      </c>
      <c r="K728" s="26"/>
    </row>
    <row r="729" spans="1:12" x14ac:dyDescent="0.25">
      <c r="A729" s="123"/>
      <c r="B729" s="22" t="s">
        <v>701</v>
      </c>
      <c r="C729" s="23">
        <v>2</v>
      </c>
      <c r="D729" s="23"/>
      <c r="E729" s="24"/>
      <c r="F729" s="23"/>
      <c r="G729" s="79">
        <v>3.24</v>
      </c>
      <c r="H729" s="26"/>
      <c r="I729" s="26"/>
      <c r="J729" s="26">
        <v>6.48</v>
      </c>
      <c r="K729" s="26"/>
    </row>
    <row r="730" spans="1:12" x14ac:dyDescent="0.25">
      <c r="A730" s="123"/>
      <c r="B730" s="22" t="s">
        <v>702</v>
      </c>
      <c r="C730" s="23">
        <v>15.42</v>
      </c>
      <c r="D730" s="23"/>
      <c r="E730" s="24"/>
      <c r="F730" s="23"/>
      <c r="G730" s="79">
        <v>0.06</v>
      </c>
      <c r="H730" s="26"/>
      <c r="I730" s="26"/>
      <c r="J730" s="26">
        <v>0.92519999999999991</v>
      </c>
      <c r="K730" s="26"/>
    </row>
    <row r="731" spans="1:12" x14ac:dyDescent="0.25">
      <c r="A731" s="123"/>
      <c r="B731" s="22" t="s">
        <v>703</v>
      </c>
      <c r="C731" s="23">
        <v>8.8000000000000007</v>
      </c>
      <c r="D731" s="23"/>
      <c r="E731" s="24"/>
      <c r="F731" s="23"/>
      <c r="G731" s="79">
        <v>0.08</v>
      </c>
      <c r="H731" s="26"/>
      <c r="I731" s="26"/>
      <c r="J731" s="26">
        <v>0.70400000000000007</v>
      </c>
      <c r="K731" s="26"/>
    </row>
    <row r="732" spans="1:12" x14ac:dyDescent="0.25">
      <c r="A732" s="27"/>
      <c r="B732" s="28"/>
      <c r="C732" s="28"/>
      <c r="D732" s="28"/>
      <c r="E732" s="28"/>
      <c r="F732" s="272" t="s">
        <v>36</v>
      </c>
      <c r="G732" s="272"/>
      <c r="H732" s="272"/>
      <c r="I732" s="29"/>
      <c r="J732" s="29">
        <v>8.14</v>
      </c>
      <c r="K732" s="29"/>
    </row>
    <row r="733" spans="1:12" ht="13.5" customHeight="1" x14ac:dyDescent="0.25">
      <c r="A733" s="123"/>
      <c r="B733" s="273"/>
      <c r="C733" s="273"/>
      <c r="D733" s="273"/>
      <c r="E733" s="273"/>
      <c r="F733" s="273"/>
      <c r="G733" s="273"/>
      <c r="H733" s="273"/>
      <c r="I733" s="273"/>
      <c r="J733" s="273"/>
      <c r="K733" s="123"/>
    </row>
    <row r="734" spans="1:12" x14ac:dyDescent="0.25">
      <c r="A734" s="19" t="str">
        <f>'Lista de Serviços'!A271</f>
        <v>04.01.803</v>
      </c>
      <c r="B734" s="274" t="s">
        <v>708</v>
      </c>
      <c r="C734" s="274"/>
      <c r="D734" s="274"/>
      <c r="E734" s="274"/>
      <c r="F734" s="274"/>
      <c r="G734" s="274"/>
      <c r="H734" s="274"/>
      <c r="I734" s="274"/>
      <c r="J734" s="274"/>
      <c r="K734" s="20"/>
      <c r="L734" s="18" t="s">
        <v>1412</v>
      </c>
    </row>
    <row r="735" spans="1:12" x14ac:dyDescent="0.25">
      <c r="A735" s="275"/>
      <c r="B735" s="275"/>
      <c r="C735" s="21"/>
      <c r="D735" s="21"/>
      <c r="E735" s="21"/>
      <c r="F735" s="21"/>
      <c r="G735" s="275" t="s">
        <v>23</v>
      </c>
      <c r="H735" s="275"/>
      <c r="I735" s="275" t="s">
        <v>24</v>
      </c>
      <c r="J735" s="275"/>
      <c r="K735" s="275"/>
    </row>
    <row r="736" spans="1:12" x14ac:dyDescent="0.25">
      <c r="A736" s="275" t="s">
        <v>25</v>
      </c>
      <c r="B736" s="275"/>
      <c r="C736" s="275" t="s">
        <v>26</v>
      </c>
      <c r="D736" s="275" t="s">
        <v>27</v>
      </c>
      <c r="E736" s="275" t="s">
        <v>28</v>
      </c>
      <c r="F736" s="275" t="s">
        <v>29</v>
      </c>
      <c r="G736" s="123" t="s">
        <v>30</v>
      </c>
      <c r="H736" s="123" t="s">
        <v>31</v>
      </c>
      <c r="I736" s="123" t="s">
        <v>32</v>
      </c>
      <c r="J736" s="123" t="s">
        <v>30</v>
      </c>
      <c r="K736" s="123" t="s">
        <v>31</v>
      </c>
    </row>
    <row r="737" spans="1:12" x14ac:dyDescent="0.25">
      <c r="A737" s="275"/>
      <c r="B737" s="275"/>
      <c r="C737" s="275"/>
      <c r="D737" s="275"/>
      <c r="E737" s="275"/>
      <c r="F737" s="275"/>
      <c r="G737" s="123" t="s">
        <v>33</v>
      </c>
      <c r="H737" s="123" t="s">
        <v>34</v>
      </c>
      <c r="I737" s="123" t="s">
        <v>35</v>
      </c>
      <c r="J737" s="123" t="s">
        <v>33</v>
      </c>
      <c r="K737" s="123" t="s">
        <v>34</v>
      </c>
    </row>
    <row r="738" spans="1:12" x14ac:dyDescent="0.25">
      <c r="A738" s="123"/>
      <c r="B738" s="22" t="s">
        <v>700</v>
      </c>
      <c r="C738" s="23">
        <v>6</v>
      </c>
      <c r="D738" s="23"/>
      <c r="E738" s="24"/>
      <c r="F738" s="23"/>
      <c r="G738" s="79">
        <v>5.7759999999999999E-3</v>
      </c>
      <c r="H738" s="26"/>
      <c r="I738" s="26"/>
      <c r="J738" s="26">
        <v>3.4655999999999999E-2</v>
      </c>
      <c r="K738" s="26"/>
    </row>
    <row r="739" spans="1:12" x14ac:dyDescent="0.25">
      <c r="A739" s="123"/>
      <c r="B739" s="22" t="s">
        <v>701</v>
      </c>
      <c r="C739" s="23">
        <v>2</v>
      </c>
      <c r="D739" s="23"/>
      <c r="E739" s="24"/>
      <c r="F739" s="23"/>
      <c r="G739" s="79">
        <v>3.9</v>
      </c>
      <c r="H739" s="26"/>
      <c r="I739" s="26"/>
      <c r="J739" s="26">
        <v>7.8</v>
      </c>
      <c r="K739" s="26"/>
    </row>
    <row r="740" spans="1:12" x14ac:dyDescent="0.25">
      <c r="A740" s="123"/>
      <c r="B740" s="22" t="s">
        <v>702</v>
      </c>
      <c r="C740" s="23">
        <v>17</v>
      </c>
      <c r="D740" s="23"/>
      <c r="E740" s="24"/>
      <c r="F740" s="23"/>
      <c r="G740" s="79">
        <v>0.06</v>
      </c>
      <c r="H740" s="26"/>
      <c r="I740" s="26"/>
      <c r="J740" s="26">
        <v>1.02</v>
      </c>
      <c r="K740" s="26"/>
    </row>
    <row r="741" spans="1:12" x14ac:dyDescent="0.25">
      <c r="A741" s="123"/>
      <c r="B741" s="22" t="s">
        <v>703</v>
      </c>
      <c r="C741" s="23">
        <v>11</v>
      </c>
      <c r="D741" s="23"/>
      <c r="E741" s="24"/>
      <c r="F741" s="23"/>
      <c r="G741" s="79">
        <v>0.08</v>
      </c>
      <c r="H741" s="26"/>
      <c r="I741" s="26"/>
      <c r="J741" s="26">
        <v>0.88</v>
      </c>
      <c r="K741" s="26"/>
    </row>
    <row r="742" spans="1:12" x14ac:dyDescent="0.25">
      <c r="A742" s="27"/>
      <c r="B742" s="28"/>
      <c r="C742" s="28"/>
      <c r="D742" s="28"/>
      <c r="E742" s="28"/>
      <c r="F742" s="272" t="s">
        <v>36</v>
      </c>
      <c r="G742" s="272"/>
      <c r="H742" s="272"/>
      <c r="I742" s="29"/>
      <c r="J742" s="29">
        <v>9.73</v>
      </c>
      <c r="K742" s="29"/>
    </row>
    <row r="743" spans="1:12" x14ac:dyDescent="0.25">
      <c r="A743" s="123"/>
      <c r="B743" s="273"/>
      <c r="C743" s="273"/>
      <c r="D743" s="273"/>
      <c r="E743" s="273"/>
      <c r="F743" s="273"/>
      <c r="G743" s="273"/>
      <c r="H743" s="273"/>
      <c r="I743" s="273"/>
      <c r="J743" s="273"/>
      <c r="K743" s="123"/>
    </row>
    <row r="744" spans="1:12" ht="27" customHeight="1" x14ac:dyDescent="0.25">
      <c r="A744" s="19" t="str">
        <f>'Lista de Serviços'!A287</f>
        <v>04.01.811</v>
      </c>
      <c r="B744" s="274" t="str">
        <f>'Lista de Serviços'!B288</f>
        <v>MICTÓRIO SIFONADO LOUÇA BRANCA ? PADRÃO MÉDIO ? FORNECIMENTO E INSTALAÇÃO. AF_01/2020</v>
      </c>
      <c r="C744" s="274"/>
      <c r="D744" s="274"/>
      <c r="E744" s="274"/>
      <c r="F744" s="274"/>
      <c r="G744" s="274"/>
      <c r="H744" s="274"/>
      <c r="I744" s="274"/>
      <c r="J744" s="274"/>
      <c r="K744" s="20"/>
      <c r="L744" s="18" t="s">
        <v>1412</v>
      </c>
    </row>
    <row r="745" spans="1:12" x14ac:dyDescent="0.25">
      <c r="A745" s="275" t="s">
        <v>25</v>
      </c>
      <c r="B745" s="275"/>
      <c r="C745" s="275" t="s">
        <v>26</v>
      </c>
      <c r="D745" s="275"/>
      <c r="E745" s="275"/>
      <c r="F745" s="275"/>
      <c r="G745" s="99"/>
      <c r="H745" s="99"/>
      <c r="I745" s="99"/>
      <c r="J745" s="99"/>
      <c r="K745" s="99"/>
    </row>
    <row r="746" spans="1:12" x14ac:dyDescent="0.25">
      <c r="A746" s="275"/>
      <c r="B746" s="275"/>
      <c r="C746" s="275"/>
      <c r="D746" s="275"/>
      <c r="E746" s="275"/>
      <c r="F746" s="275"/>
      <c r="G746" s="99"/>
      <c r="H746" s="99"/>
      <c r="I746" s="99"/>
      <c r="J746" s="99"/>
      <c r="K746" s="99"/>
    </row>
    <row r="747" spans="1:12" x14ac:dyDescent="0.25">
      <c r="A747" s="99" t="s">
        <v>141</v>
      </c>
      <c r="B747" s="22" t="s">
        <v>256</v>
      </c>
      <c r="C747" s="23">
        <v>1</v>
      </c>
      <c r="D747" s="23"/>
      <c r="E747" s="24"/>
      <c r="F747" s="23"/>
      <c r="G747" s="79"/>
      <c r="H747" s="26"/>
      <c r="I747" s="26"/>
      <c r="J747" s="26"/>
      <c r="K747" s="26"/>
    </row>
    <row r="748" spans="1:12" x14ac:dyDescent="0.25">
      <c r="A748" s="99" t="s">
        <v>144</v>
      </c>
      <c r="B748" s="22" t="s">
        <v>256</v>
      </c>
      <c r="C748" s="23">
        <v>1</v>
      </c>
      <c r="D748" s="23"/>
      <c r="E748" s="24"/>
      <c r="F748" s="23"/>
      <c r="G748" s="79"/>
      <c r="H748" s="26"/>
      <c r="I748" s="26"/>
      <c r="J748" s="26"/>
      <c r="K748" s="26"/>
    </row>
    <row r="749" spans="1:12" ht="12.75" customHeight="1" x14ac:dyDescent="0.25">
      <c r="A749" s="27"/>
      <c r="B749" s="98" t="s">
        <v>36</v>
      </c>
      <c r="C749" s="98">
        <v>2</v>
      </c>
      <c r="D749" s="28"/>
      <c r="E749" s="28"/>
      <c r="F749" s="111"/>
      <c r="G749" s="111"/>
      <c r="H749" s="111"/>
      <c r="I749" s="29"/>
      <c r="J749" s="29"/>
      <c r="K749" s="29"/>
    </row>
    <row r="750" spans="1:12" x14ac:dyDescent="0.25">
      <c r="A750" s="99"/>
      <c r="B750" s="273"/>
      <c r="C750" s="273"/>
      <c r="D750" s="273"/>
      <c r="E750" s="273"/>
      <c r="F750" s="273"/>
      <c r="G750" s="273"/>
      <c r="H750" s="273"/>
      <c r="I750" s="273"/>
      <c r="J750" s="273"/>
      <c r="K750" s="99"/>
    </row>
    <row r="751" spans="1:12" x14ac:dyDescent="0.25">
      <c r="A751" s="19" t="str">
        <f>'Lista de Serviços'!A287</f>
        <v>04.01.811</v>
      </c>
      <c r="B751" s="274" t="str">
        <f>'Lista de Serviços'!B292</f>
        <v>CUBA DE EMBUTIR OVAL EM LOUÇA BRANCA, 35 X 50CM OU EQUIVALENTE - FORNECIMENTO E INSTALAÇÃO. AF_01/2020</v>
      </c>
      <c r="C751" s="274"/>
      <c r="D751" s="274"/>
      <c r="E751" s="274"/>
      <c r="F751" s="274"/>
      <c r="G751" s="274"/>
      <c r="H751" s="274"/>
      <c r="I751" s="274"/>
      <c r="J751" s="274"/>
      <c r="K751" s="20"/>
      <c r="L751" s="18" t="s">
        <v>1412</v>
      </c>
    </row>
    <row r="752" spans="1:12" x14ac:dyDescent="0.25">
      <c r="A752" s="275" t="s">
        <v>25</v>
      </c>
      <c r="B752" s="275"/>
      <c r="C752" s="275" t="s">
        <v>26</v>
      </c>
      <c r="D752" s="275"/>
      <c r="E752" s="275"/>
      <c r="F752" s="275"/>
      <c r="G752" s="99"/>
      <c r="H752" s="99"/>
      <c r="I752" s="99"/>
      <c r="J752" s="99"/>
      <c r="K752" s="99"/>
    </row>
    <row r="753" spans="1:12" x14ac:dyDescent="0.25">
      <c r="A753" s="275"/>
      <c r="B753" s="275"/>
      <c r="C753" s="275"/>
      <c r="D753" s="275"/>
      <c r="E753" s="275"/>
      <c r="F753" s="275"/>
      <c r="G753" s="99"/>
      <c r="H753" s="99"/>
      <c r="I753" s="99"/>
      <c r="J753" s="99"/>
      <c r="K753" s="99"/>
    </row>
    <row r="754" spans="1:12" x14ac:dyDescent="0.25">
      <c r="A754" s="99" t="s">
        <v>141</v>
      </c>
      <c r="B754" s="22" t="s">
        <v>255</v>
      </c>
      <c r="C754" s="23">
        <v>2</v>
      </c>
      <c r="D754" s="23"/>
      <c r="E754" s="24"/>
      <c r="F754" s="23"/>
      <c r="G754" s="79"/>
      <c r="H754" s="26"/>
      <c r="I754" s="26"/>
      <c r="J754" s="26"/>
      <c r="K754" s="26"/>
    </row>
    <row r="755" spans="1:12" x14ac:dyDescent="0.25">
      <c r="A755" s="99" t="s">
        <v>141</v>
      </c>
      <c r="B755" s="22" t="s">
        <v>256</v>
      </c>
      <c r="C755" s="23">
        <v>2</v>
      </c>
      <c r="D755" s="23"/>
      <c r="E755" s="24"/>
      <c r="F755" s="23"/>
      <c r="G755" s="79"/>
      <c r="H755" s="26"/>
      <c r="I755" s="26"/>
      <c r="J755" s="26"/>
      <c r="K755" s="26"/>
    </row>
    <row r="756" spans="1:12" x14ac:dyDescent="0.25">
      <c r="A756" s="99" t="s">
        <v>144</v>
      </c>
      <c r="B756" s="22" t="s">
        <v>255</v>
      </c>
      <c r="C756" s="23">
        <v>2</v>
      </c>
      <c r="D756" s="23"/>
      <c r="E756" s="24"/>
      <c r="F756" s="23"/>
      <c r="G756" s="79"/>
      <c r="H756" s="26"/>
      <c r="I756" s="26"/>
      <c r="J756" s="26"/>
      <c r="K756" s="26"/>
    </row>
    <row r="757" spans="1:12" x14ac:dyDescent="0.25">
      <c r="A757" s="99" t="s">
        <v>144</v>
      </c>
      <c r="B757" s="22" t="s">
        <v>256</v>
      </c>
      <c r="C757" s="23">
        <v>2</v>
      </c>
      <c r="D757" s="23"/>
      <c r="E757" s="24"/>
      <c r="F757" s="23"/>
      <c r="G757" s="79"/>
      <c r="H757" s="26"/>
      <c r="I757" s="26"/>
      <c r="J757" s="26"/>
      <c r="K757" s="26"/>
    </row>
    <row r="758" spans="1:12" ht="12.75" customHeight="1" x14ac:dyDescent="0.25">
      <c r="A758" s="27"/>
      <c r="B758" s="98" t="s">
        <v>36</v>
      </c>
      <c r="C758" s="98">
        <v>8</v>
      </c>
      <c r="D758" s="28"/>
      <c r="E758" s="28"/>
      <c r="F758" s="111"/>
      <c r="G758" s="111"/>
      <c r="H758" s="111"/>
      <c r="I758" s="29"/>
      <c r="J758" s="29"/>
      <c r="K758" s="29"/>
    </row>
    <row r="759" spans="1:12" x14ac:dyDescent="0.25">
      <c r="A759" s="99"/>
      <c r="B759" s="273"/>
      <c r="C759" s="273"/>
      <c r="D759" s="273"/>
      <c r="E759" s="273"/>
      <c r="F759" s="273"/>
      <c r="G759" s="273"/>
      <c r="H759" s="273"/>
      <c r="I759" s="273"/>
      <c r="J759" s="273"/>
      <c r="K759" s="99"/>
    </row>
    <row r="760" spans="1:12" ht="30" customHeight="1" x14ac:dyDescent="0.25">
      <c r="A760" s="19" t="str">
        <f>'Lista de Serviços'!A287</f>
        <v>04.01.811</v>
      </c>
      <c r="B760" s="274" t="str">
        <f>'Lista de Serviços'!B293</f>
        <v>LAVATÓRIO LOUÇA BRANCA COM COLUNA, 45 X 55CM OU EQUIVALENTE, PADRÃO MÉDIO - FORNECIMENTO E INSTALAÇÃO. AF_01/2020</v>
      </c>
      <c r="C760" s="274"/>
      <c r="D760" s="274"/>
      <c r="E760" s="274"/>
      <c r="F760" s="274"/>
      <c r="G760" s="274"/>
      <c r="H760" s="274"/>
      <c r="I760" s="274"/>
      <c r="J760" s="274"/>
      <c r="K760" s="20"/>
      <c r="L760" s="18" t="s">
        <v>1412</v>
      </c>
    </row>
    <row r="761" spans="1:12" x14ac:dyDescent="0.25">
      <c r="A761" s="275" t="s">
        <v>25</v>
      </c>
      <c r="B761" s="275"/>
      <c r="C761" s="275" t="s">
        <v>26</v>
      </c>
      <c r="D761" s="275"/>
      <c r="E761" s="275"/>
      <c r="F761" s="275"/>
      <c r="G761" s="99"/>
      <c r="H761" s="99"/>
      <c r="I761" s="99"/>
      <c r="J761" s="99"/>
      <c r="K761" s="99"/>
    </row>
    <row r="762" spans="1:12" x14ac:dyDescent="0.25">
      <c r="A762" s="275"/>
      <c r="B762" s="275"/>
      <c r="C762" s="275"/>
      <c r="D762" s="275"/>
      <c r="E762" s="275"/>
      <c r="F762" s="275"/>
      <c r="G762" s="99"/>
      <c r="H762" s="99"/>
      <c r="I762" s="99"/>
      <c r="J762" s="99"/>
      <c r="K762" s="99"/>
    </row>
    <row r="763" spans="1:12" x14ac:dyDescent="0.25">
      <c r="A763" s="99" t="s">
        <v>141</v>
      </c>
      <c r="B763" s="22" t="s">
        <v>257</v>
      </c>
      <c r="C763" s="23">
        <v>1</v>
      </c>
      <c r="D763" s="23"/>
      <c r="E763" s="24"/>
      <c r="F763" s="23"/>
      <c r="G763" s="79"/>
      <c r="H763" s="26"/>
      <c r="I763" s="26"/>
      <c r="J763" s="26"/>
      <c r="K763" s="26"/>
    </row>
    <row r="764" spans="1:12" x14ac:dyDescent="0.25">
      <c r="A764" s="99" t="s">
        <v>144</v>
      </c>
      <c r="B764" s="22" t="s">
        <v>398</v>
      </c>
      <c r="C764" s="23">
        <v>1</v>
      </c>
      <c r="D764" s="23"/>
      <c r="E764" s="24"/>
      <c r="F764" s="23"/>
      <c r="G764" s="79"/>
      <c r="H764" s="26"/>
      <c r="I764" s="26"/>
      <c r="J764" s="26"/>
      <c r="K764" s="26"/>
    </row>
    <row r="765" spans="1:12" ht="12.75" customHeight="1" x14ac:dyDescent="0.25">
      <c r="A765" s="27"/>
      <c r="B765" s="98" t="s">
        <v>36</v>
      </c>
      <c r="C765" s="98">
        <v>2</v>
      </c>
      <c r="D765" s="28"/>
      <c r="E765" s="28"/>
      <c r="F765" s="111"/>
      <c r="G765" s="111"/>
      <c r="H765" s="111"/>
      <c r="I765" s="29"/>
      <c r="J765" s="29"/>
      <c r="K765" s="29"/>
    </row>
    <row r="766" spans="1:12" x14ac:dyDescent="0.25">
      <c r="A766" s="99"/>
      <c r="B766" s="273"/>
      <c r="C766" s="273"/>
      <c r="D766" s="273"/>
      <c r="E766" s="273"/>
      <c r="F766" s="273"/>
      <c r="G766" s="273"/>
      <c r="H766" s="273"/>
      <c r="I766" s="273"/>
      <c r="J766" s="273"/>
      <c r="K766" s="99"/>
    </row>
    <row r="767" spans="1:12" x14ac:dyDescent="0.25">
      <c r="A767" s="19" t="str">
        <f>'Lista de Serviços'!A287</f>
        <v>04.01.811</v>
      </c>
      <c r="B767" s="274" t="str">
        <f>'Lista de Serviços'!B294</f>
        <v>TORNEIRA CROMADA 1/2? OU 3/4? PARA TANQUE, PADRÃO MÉDIO - FORNECIMENTO E INSTALAÇÃO. AF_01/2020</v>
      </c>
      <c r="C767" s="274"/>
      <c r="D767" s="274"/>
      <c r="E767" s="274"/>
      <c r="F767" s="274"/>
      <c r="G767" s="274"/>
      <c r="H767" s="274"/>
      <c r="I767" s="274"/>
      <c r="J767" s="274"/>
      <c r="K767" s="20"/>
      <c r="L767" s="18" t="s">
        <v>1412</v>
      </c>
    </row>
    <row r="768" spans="1:12" x14ac:dyDescent="0.25">
      <c r="A768" s="275" t="s">
        <v>25</v>
      </c>
      <c r="B768" s="275"/>
      <c r="C768" s="275" t="s">
        <v>26</v>
      </c>
      <c r="D768" s="275"/>
      <c r="E768" s="275"/>
      <c r="F768" s="275"/>
      <c r="G768" s="99"/>
      <c r="H768" s="99"/>
      <c r="I768" s="99"/>
      <c r="J768" s="99"/>
      <c r="K768" s="99"/>
    </row>
    <row r="769" spans="1:12" x14ac:dyDescent="0.25">
      <c r="A769" s="275"/>
      <c r="B769" s="275"/>
      <c r="C769" s="275"/>
      <c r="D769" s="275"/>
      <c r="E769" s="275"/>
      <c r="F769" s="275"/>
      <c r="G769" s="99"/>
      <c r="H769" s="99"/>
      <c r="I769" s="99"/>
      <c r="J769" s="99"/>
      <c r="K769" s="99"/>
    </row>
    <row r="770" spans="1:12" x14ac:dyDescent="0.25">
      <c r="A770" s="99" t="s">
        <v>141</v>
      </c>
      <c r="B770" s="22" t="s">
        <v>255</v>
      </c>
      <c r="C770" s="23">
        <v>1</v>
      </c>
      <c r="D770" s="23"/>
      <c r="E770" s="24"/>
      <c r="F770" s="23"/>
      <c r="G770" s="79"/>
      <c r="H770" s="26"/>
      <c r="I770" s="26"/>
      <c r="J770" s="26"/>
      <c r="K770" s="26"/>
    </row>
    <row r="771" spans="1:12" x14ac:dyDescent="0.25">
      <c r="A771" s="99" t="s">
        <v>141</v>
      </c>
      <c r="B771" s="22" t="s">
        <v>256</v>
      </c>
      <c r="C771" s="23">
        <v>1</v>
      </c>
      <c r="D771" s="23"/>
      <c r="E771" s="24"/>
      <c r="F771" s="23"/>
      <c r="G771" s="79"/>
      <c r="H771" s="26"/>
      <c r="I771" s="26"/>
      <c r="J771" s="26"/>
      <c r="K771" s="26"/>
    </row>
    <row r="772" spans="1:12" x14ac:dyDescent="0.25">
      <c r="A772" s="99" t="s">
        <v>141</v>
      </c>
      <c r="B772" s="22" t="s">
        <v>257</v>
      </c>
      <c r="C772" s="23">
        <v>1</v>
      </c>
      <c r="D772" s="23"/>
      <c r="E772" s="24"/>
      <c r="F772" s="23"/>
      <c r="G772" s="79"/>
      <c r="H772" s="26"/>
      <c r="I772" s="26"/>
      <c r="J772" s="26"/>
      <c r="K772" s="26"/>
    </row>
    <row r="773" spans="1:12" x14ac:dyDescent="0.25">
      <c r="A773" s="99" t="s">
        <v>144</v>
      </c>
      <c r="B773" s="22" t="s">
        <v>255</v>
      </c>
      <c r="C773" s="23">
        <v>1</v>
      </c>
      <c r="D773" s="23"/>
      <c r="E773" s="24"/>
      <c r="F773" s="23"/>
      <c r="G773" s="79"/>
      <c r="H773" s="26"/>
      <c r="I773" s="26"/>
      <c r="J773" s="26"/>
      <c r="K773" s="26"/>
    </row>
    <row r="774" spans="1:12" x14ac:dyDescent="0.25">
      <c r="A774" s="99" t="s">
        <v>144</v>
      </c>
      <c r="B774" s="22" t="s">
        <v>256</v>
      </c>
      <c r="C774" s="23">
        <v>1</v>
      </c>
      <c r="D774" s="23"/>
      <c r="E774" s="24"/>
      <c r="F774" s="23"/>
      <c r="G774" s="79"/>
      <c r="H774" s="26"/>
      <c r="I774" s="26"/>
      <c r="J774" s="26"/>
      <c r="K774" s="26"/>
    </row>
    <row r="775" spans="1:12" x14ac:dyDescent="0.25">
      <c r="A775" s="99" t="s">
        <v>144</v>
      </c>
      <c r="B775" s="22" t="s">
        <v>257</v>
      </c>
      <c r="C775" s="23">
        <v>1</v>
      </c>
      <c r="D775" s="23"/>
      <c r="E775" s="24"/>
      <c r="F775" s="23"/>
      <c r="G775" s="79"/>
      <c r="H775" s="26"/>
      <c r="I775" s="26"/>
      <c r="J775" s="26"/>
      <c r="K775" s="26"/>
    </row>
    <row r="776" spans="1:12" ht="12.75" customHeight="1" x14ac:dyDescent="0.25">
      <c r="A776" s="27"/>
      <c r="B776" s="98" t="s">
        <v>36</v>
      </c>
      <c r="C776" s="98">
        <v>6</v>
      </c>
      <c r="D776" s="28"/>
      <c r="E776" s="28"/>
      <c r="F776" s="111"/>
      <c r="G776" s="111"/>
      <c r="H776" s="111"/>
      <c r="I776" s="29"/>
      <c r="J776" s="29"/>
      <c r="K776" s="29"/>
    </row>
    <row r="777" spans="1:12" x14ac:dyDescent="0.25">
      <c r="A777" s="99"/>
      <c r="B777" s="273"/>
      <c r="C777" s="273"/>
      <c r="D777" s="273"/>
      <c r="E777" s="273"/>
      <c r="F777" s="273"/>
      <c r="G777" s="273"/>
      <c r="H777" s="273"/>
      <c r="I777" s="273"/>
      <c r="J777" s="273"/>
      <c r="K777" s="99"/>
    </row>
    <row r="778" spans="1:12" ht="28.5" customHeight="1" x14ac:dyDescent="0.25">
      <c r="A778" s="19" t="str">
        <f>'Lista de Serviços'!A287</f>
        <v>04.01.811</v>
      </c>
      <c r="B778" s="274" t="str">
        <f>'Lista de Serviços'!B295</f>
        <v>VASO SANITARIO SIFONADO CONVENCIONAL COM LOUÇA BRANCA, INCLUSO CONJUNTO DE LIGAÇÃO PARA BACIA SANITÁRIA AJUSTÁVEL - FORNECIMENTO E INSTALAÇÃO. AF_10/2016</v>
      </c>
      <c r="C778" s="274"/>
      <c r="D778" s="274"/>
      <c r="E778" s="274"/>
      <c r="F778" s="274"/>
      <c r="G778" s="274"/>
      <c r="H778" s="274"/>
      <c r="I778" s="274"/>
      <c r="J778" s="274"/>
      <c r="K778" s="20"/>
      <c r="L778" s="18" t="s">
        <v>1412</v>
      </c>
    </row>
    <row r="779" spans="1:12" x14ac:dyDescent="0.25">
      <c r="A779" s="275" t="s">
        <v>25</v>
      </c>
      <c r="B779" s="275"/>
      <c r="C779" s="275" t="s">
        <v>26</v>
      </c>
      <c r="D779" s="275"/>
      <c r="E779" s="275"/>
      <c r="F779" s="275"/>
      <c r="G779" s="99"/>
      <c r="H779" s="99"/>
      <c r="I779" s="99"/>
      <c r="J779" s="99"/>
      <c r="K779" s="99"/>
    </row>
    <row r="780" spans="1:12" x14ac:dyDescent="0.25">
      <c r="A780" s="275"/>
      <c r="B780" s="275"/>
      <c r="C780" s="275"/>
      <c r="D780" s="275"/>
      <c r="E780" s="275"/>
      <c r="F780" s="275"/>
      <c r="G780" s="99"/>
      <c r="H780" s="99"/>
      <c r="I780" s="99"/>
      <c r="J780" s="99"/>
      <c r="K780" s="99"/>
    </row>
    <row r="781" spans="1:12" x14ac:dyDescent="0.25">
      <c r="A781" s="99" t="s">
        <v>141</v>
      </c>
      <c r="B781" s="22" t="s">
        <v>255</v>
      </c>
      <c r="C781" s="23">
        <v>2</v>
      </c>
      <c r="D781" s="23"/>
      <c r="E781" s="24"/>
      <c r="F781" s="23"/>
      <c r="G781" s="79"/>
      <c r="H781" s="26"/>
      <c r="I781" s="26"/>
      <c r="J781" s="26"/>
      <c r="K781" s="26"/>
    </row>
    <row r="782" spans="1:12" x14ac:dyDescent="0.25">
      <c r="A782" s="99" t="s">
        <v>141</v>
      </c>
      <c r="B782" s="22" t="s">
        <v>256</v>
      </c>
      <c r="C782" s="23">
        <v>1</v>
      </c>
      <c r="D782" s="23"/>
      <c r="E782" s="24"/>
      <c r="F782" s="23"/>
      <c r="G782" s="79"/>
      <c r="H782" s="26"/>
      <c r="I782" s="26"/>
      <c r="J782" s="26"/>
      <c r="K782" s="26"/>
    </row>
    <row r="783" spans="1:12" x14ac:dyDescent="0.25">
      <c r="A783" s="99" t="s">
        <v>144</v>
      </c>
      <c r="B783" s="22" t="s">
        <v>255</v>
      </c>
      <c r="C783" s="23">
        <v>2</v>
      </c>
      <c r="D783" s="23"/>
      <c r="E783" s="24"/>
      <c r="F783" s="23"/>
      <c r="G783" s="79"/>
      <c r="H783" s="26"/>
      <c r="I783" s="26"/>
      <c r="J783" s="26"/>
      <c r="K783" s="26"/>
    </row>
    <row r="784" spans="1:12" x14ac:dyDescent="0.25">
      <c r="A784" s="99" t="s">
        <v>144</v>
      </c>
      <c r="B784" s="22" t="s">
        <v>256</v>
      </c>
      <c r="C784" s="23">
        <v>1</v>
      </c>
      <c r="D784" s="23"/>
      <c r="E784" s="24"/>
      <c r="F784" s="23"/>
      <c r="G784" s="79"/>
      <c r="H784" s="26"/>
      <c r="I784" s="26"/>
      <c r="J784" s="26"/>
      <c r="K784" s="26"/>
    </row>
    <row r="785" spans="1:12" ht="12.75" customHeight="1" x14ac:dyDescent="0.25">
      <c r="A785" s="27"/>
      <c r="B785" s="98" t="s">
        <v>36</v>
      </c>
      <c r="C785" s="98">
        <v>6</v>
      </c>
      <c r="D785" s="28"/>
      <c r="E785" s="28"/>
      <c r="F785" s="111"/>
      <c r="G785" s="111"/>
      <c r="H785" s="111"/>
      <c r="I785" s="29"/>
      <c r="J785" s="29"/>
      <c r="K785" s="29"/>
    </row>
    <row r="786" spans="1:12" x14ac:dyDescent="0.25">
      <c r="A786" s="99"/>
      <c r="B786" s="273"/>
      <c r="C786" s="273"/>
      <c r="D786" s="273"/>
      <c r="E786" s="273"/>
      <c r="F786" s="273"/>
      <c r="G786" s="273"/>
      <c r="H786" s="273"/>
      <c r="I786" s="273"/>
      <c r="J786" s="273"/>
      <c r="K786" s="99"/>
    </row>
    <row r="787" spans="1:12" ht="30.75" customHeight="1" x14ac:dyDescent="0.25">
      <c r="A787" s="19" t="str">
        <f>'Lista de Serviços'!A287</f>
        <v>04.01.811</v>
      </c>
      <c r="B787" s="274" t="s">
        <v>402</v>
      </c>
      <c r="C787" s="274"/>
      <c r="D787" s="274"/>
      <c r="E787" s="274"/>
      <c r="F787" s="274"/>
      <c r="G787" s="274"/>
      <c r="H787" s="274"/>
      <c r="I787" s="274"/>
      <c r="J787" s="274"/>
      <c r="K787" s="20"/>
      <c r="L787" s="18" t="s">
        <v>1412</v>
      </c>
    </row>
    <row r="788" spans="1:12" x14ac:dyDescent="0.25">
      <c r="A788" s="275" t="s">
        <v>25</v>
      </c>
      <c r="B788" s="275"/>
      <c r="C788" s="275" t="s">
        <v>26</v>
      </c>
      <c r="D788" s="275"/>
      <c r="E788" s="275"/>
      <c r="F788" s="275"/>
      <c r="G788" s="99"/>
      <c r="H788" s="99"/>
      <c r="I788" s="99"/>
      <c r="J788" s="99"/>
      <c r="K788" s="99"/>
    </row>
    <row r="789" spans="1:12" x14ac:dyDescent="0.25">
      <c r="A789" s="275"/>
      <c r="B789" s="275"/>
      <c r="C789" s="275"/>
      <c r="D789" s="275"/>
      <c r="E789" s="275"/>
      <c r="F789" s="275"/>
      <c r="G789" s="99"/>
      <c r="H789" s="99"/>
      <c r="I789" s="99"/>
      <c r="J789" s="99"/>
      <c r="K789" s="99"/>
    </row>
    <row r="790" spans="1:12" x14ac:dyDescent="0.25">
      <c r="A790" s="99" t="s">
        <v>141</v>
      </c>
      <c r="B790" s="22" t="s">
        <v>257</v>
      </c>
      <c r="C790" s="23">
        <v>1</v>
      </c>
      <c r="D790" s="23"/>
      <c r="E790" s="24"/>
      <c r="F790" s="23"/>
      <c r="G790" s="79"/>
      <c r="H790" s="26"/>
      <c r="I790" s="26"/>
      <c r="J790" s="26"/>
      <c r="K790" s="26"/>
    </row>
    <row r="791" spans="1:12" x14ac:dyDescent="0.25">
      <c r="A791" s="99" t="s">
        <v>144</v>
      </c>
      <c r="B791" s="22" t="s">
        <v>257</v>
      </c>
      <c r="C791" s="23">
        <v>1</v>
      </c>
      <c r="D791" s="23"/>
      <c r="E791" s="24"/>
      <c r="F791" s="23"/>
      <c r="G791" s="79"/>
      <c r="H791" s="26"/>
      <c r="I791" s="26"/>
      <c r="J791" s="26"/>
      <c r="K791" s="26"/>
    </row>
    <row r="792" spans="1:12" ht="12.75" customHeight="1" x14ac:dyDescent="0.25">
      <c r="A792" s="27"/>
      <c r="B792" s="98" t="s">
        <v>36</v>
      </c>
      <c r="C792" s="98">
        <v>2</v>
      </c>
      <c r="D792" s="28"/>
      <c r="E792" s="28"/>
      <c r="F792" s="111"/>
      <c r="G792" s="111"/>
      <c r="H792" s="111"/>
      <c r="I792" s="29"/>
      <c r="J792" s="29"/>
      <c r="K792" s="29"/>
    </row>
    <row r="793" spans="1:12" x14ac:dyDescent="0.25">
      <c r="A793" s="99"/>
      <c r="B793" s="273"/>
      <c r="C793" s="273"/>
      <c r="D793" s="273"/>
      <c r="E793" s="273"/>
      <c r="F793" s="273"/>
      <c r="G793" s="273"/>
      <c r="H793" s="273"/>
      <c r="I793" s="273"/>
      <c r="J793" s="273"/>
      <c r="K793" s="99"/>
    </row>
    <row r="794" spans="1:12" x14ac:dyDescent="0.25">
      <c r="A794" s="19" t="s">
        <v>456</v>
      </c>
      <c r="B794" s="274" t="s">
        <v>452</v>
      </c>
      <c r="C794" s="274"/>
      <c r="D794" s="274"/>
      <c r="E794" s="274"/>
      <c r="F794" s="274"/>
      <c r="G794" s="274"/>
      <c r="H794" s="274"/>
      <c r="I794" s="274"/>
      <c r="J794" s="274"/>
      <c r="K794" s="20"/>
      <c r="L794" s="18" t="s">
        <v>1412</v>
      </c>
    </row>
    <row r="795" spans="1:12" x14ac:dyDescent="0.25">
      <c r="A795" s="275" t="s">
        <v>25</v>
      </c>
      <c r="B795" s="275"/>
      <c r="C795" s="275" t="s">
        <v>26</v>
      </c>
      <c r="D795" s="275"/>
      <c r="E795" s="275"/>
      <c r="F795" s="275"/>
      <c r="G795" s="141"/>
      <c r="H795" s="141"/>
      <c r="I795" s="141"/>
      <c r="J795" s="141"/>
      <c r="K795" s="141"/>
    </row>
    <row r="796" spans="1:12" x14ac:dyDescent="0.25">
      <c r="A796" s="275"/>
      <c r="B796" s="275"/>
      <c r="C796" s="275"/>
      <c r="D796" s="275"/>
      <c r="E796" s="275"/>
      <c r="F796" s="275"/>
      <c r="G796" s="141"/>
      <c r="H796" s="141"/>
      <c r="I796" s="141"/>
      <c r="J796" s="141"/>
      <c r="K796" s="141"/>
    </row>
    <row r="797" spans="1:12" x14ac:dyDescent="0.25">
      <c r="A797" s="141"/>
      <c r="B797" s="22" t="s">
        <v>479</v>
      </c>
      <c r="C797" s="143">
        <v>1</v>
      </c>
      <c r="D797" s="143"/>
      <c r="E797" s="24"/>
      <c r="F797" s="143"/>
      <c r="G797" s="79"/>
      <c r="H797" s="26"/>
      <c r="I797" s="26"/>
      <c r="J797" s="26"/>
      <c r="K797" s="26"/>
    </row>
    <row r="798" spans="1:12" x14ac:dyDescent="0.25">
      <c r="A798" s="141"/>
      <c r="B798" s="22" t="s">
        <v>481</v>
      </c>
      <c r="C798" s="143">
        <v>2</v>
      </c>
      <c r="D798" s="143"/>
      <c r="E798" s="24"/>
      <c r="F798" s="143"/>
      <c r="G798" s="79"/>
      <c r="H798" s="26"/>
      <c r="I798" s="26"/>
      <c r="J798" s="26"/>
      <c r="K798" s="26"/>
    </row>
    <row r="799" spans="1:12" x14ac:dyDescent="0.25">
      <c r="A799" s="141"/>
      <c r="B799" s="22" t="s">
        <v>482</v>
      </c>
      <c r="C799" s="143">
        <v>2</v>
      </c>
      <c r="D799" s="143"/>
      <c r="E799" s="24"/>
      <c r="F799" s="143"/>
      <c r="G799" s="79"/>
      <c r="H799" s="26"/>
      <c r="I799" s="26"/>
      <c r="J799" s="26"/>
      <c r="K799" s="26"/>
    </row>
    <row r="800" spans="1:12" x14ac:dyDescent="0.25">
      <c r="A800" s="141"/>
      <c r="B800" s="22" t="s">
        <v>485</v>
      </c>
      <c r="C800" s="143">
        <v>1</v>
      </c>
      <c r="D800" s="143"/>
      <c r="E800" s="24"/>
      <c r="F800" s="143"/>
      <c r="G800" s="79"/>
      <c r="H800" s="26"/>
      <c r="I800" s="26"/>
      <c r="J800" s="26"/>
      <c r="K800" s="26"/>
    </row>
    <row r="801" spans="1:12" x14ac:dyDescent="0.25">
      <c r="A801" s="141"/>
      <c r="B801" s="22" t="s">
        <v>487</v>
      </c>
      <c r="C801" s="143">
        <v>1</v>
      </c>
      <c r="D801" s="143"/>
      <c r="E801" s="24"/>
      <c r="F801" s="143"/>
      <c r="G801" s="79"/>
      <c r="H801" s="26"/>
      <c r="I801" s="26"/>
      <c r="J801" s="26"/>
      <c r="K801" s="26"/>
    </row>
    <row r="802" spans="1:12" x14ac:dyDescent="0.25">
      <c r="A802" s="141"/>
      <c r="B802" s="22" t="s">
        <v>490</v>
      </c>
      <c r="C802" s="143">
        <v>2</v>
      </c>
      <c r="D802" s="143"/>
      <c r="E802" s="24"/>
      <c r="F802" s="143"/>
      <c r="G802" s="79"/>
      <c r="H802" s="26"/>
      <c r="I802" s="26"/>
      <c r="J802" s="26"/>
      <c r="K802" s="26"/>
    </row>
    <row r="803" spans="1:12" ht="12.75" customHeight="1" x14ac:dyDescent="0.25">
      <c r="A803" s="142"/>
      <c r="B803" s="140" t="s">
        <v>36</v>
      </c>
      <c r="C803" s="140">
        <v>9</v>
      </c>
      <c r="D803" s="28"/>
      <c r="E803" s="28"/>
      <c r="F803" s="111"/>
      <c r="G803" s="111"/>
      <c r="H803" s="111"/>
      <c r="I803" s="29"/>
      <c r="J803" s="29"/>
      <c r="K803" s="29"/>
    </row>
    <row r="804" spans="1:12" x14ac:dyDescent="0.25">
      <c r="A804" s="141"/>
      <c r="B804" s="273"/>
      <c r="C804" s="273"/>
      <c r="D804" s="273"/>
      <c r="E804" s="273"/>
      <c r="F804" s="273"/>
      <c r="G804" s="273"/>
      <c r="H804" s="273"/>
      <c r="I804" s="273"/>
      <c r="J804" s="273"/>
      <c r="K804" s="141"/>
    </row>
    <row r="805" spans="1:12" x14ac:dyDescent="0.25">
      <c r="A805" s="19" t="s">
        <v>457</v>
      </c>
      <c r="B805" s="274" t="s">
        <v>453</v>
      </c>
      <c r="C805" s="274"/>
      <c r="D805" s="274"/>
      <c r="E805" s="274"/>
      <c r="F805" s="274"/>
      <c r="G805" s="274"/>
      <c r="H805" s="274"/>
      <c r="I805" s="274"/>
      <c r="J805" s="274"/>
      <c r="K805" s="20"/>
      <c r="L805" s="18" t="s">
        <v>1412</v>
      </c>
    </row>
    <row r="806" spans="1:12" x14ac:dyDescent="0.25">
      <c r="A806" s="275" t="s">
        <v>25</v>
      </c>
      <c r="B806" s="275"/>
      <c r="C806" s="275" t="s">
        <v>26</v>
      </c>
      <c r="D806" s="275"/>
      <c r="E806" s="275"/>
      <c r="F806" s="275"/>
      <c r="G806" s="141"/>
      <c r="H806" s="141"/>
      <c r="I806" s="141"/>
      <c r="J806" s="141"/>
      <c r="K806" s="141"/>
    </row>
    <row r="807" spans="1:12" x14ac:dyDescent="0.25">
      <c r="A807" s="275"/>
      <c r="B807" s="275"/>
      <c r="C807" s="275"/>
      <c r="D807" s="275"/>
      <c r="E807" s="275"/>
      <c r="F807" s="275"/>
      <c r="G807" s="141"/>
      <c r="H807" s="141"/>
      <c r="I807" s="141"/>
      <c r="J807" s="141"/>
      <c r="K807" s="141"/>
    </row>
    <row r="808" spans="1:12" x14ac:dyDescent="0.25">
      <c r="A808" s="141"/>
      <c r="B808" s="22" t="s">
        <v>325</v>
      </c>
      <c r="C808" s="143">
        <v>1</v>
      </c>
      <c r="D808" s="143"/>
      <c r="E808" s="24"/>
      <c r="F808" s="143"/>
      <c r="G808" s="79"/>
      <c r="H808" s="26"/>
      <c r="I808" s="26"/>
      <c r="J808" s="26"/>
      <c r="K808" s="26"/>
    </row>
    <row r="809" spans="1:12" x14ac:dyDescent="0.25">
      <c r="A809" s="141"/>
      <c r="B809" s="22" t="s">
        <v>326</v>
      </c>
      <c r="C809" s="143">
        <v>1</v>
      </c>
      <c r="D809" s="143"/>
      <c r="E809" s="24"/>
      <c r="F809" s="143"/>
      <c r="G809" s="79"/>
      <c r="H809" s="26"/>
      <c r="I809" s="26"/>
      <c r="J809" s="26"/>
      <c r="K809" s="26"/>
    </row>
    <row r="810" spans="1:12" x14ac:dyDescent="0.25">
      <c r="A810" s="141"/>
      <c r="B810" s="22" t="s">
        <v>327</v>
      </c>
      <c r="C810" s="143">
        <v>1</v>
      </c>
      <c r="D810" s="143"/>
      <c r="E810" s="24"/>
      <c r="F810" s="143"/>
      <c r="G810" s="79"/>
      <c r="H810" s="26"/>
      <c r="I810" s="26"/>
      <c r="J810" s="26"/>
      <c r="K810" s="26"/>
    </row>
    <row r="811" spans="1:12" x14ac:dyDescent="0.25">
      <c r="A811" s="141"/>
      <c r="B811" s="22" t="s">
        <v>328</v>
      </c>
      <c r="C811" s="143">
        <v>1</v>
      </c>
      <c r="D811" s="143"/>
      <c r="E811" s="24"/>
      <c r="F811" s="143"/>
      <c r="G811" s="79"/>
      <c r="H811" s="26"/>
      <c r="I811" s="26"/>
      <c r="J811" s="26"/>
      <c r="K811" s="26"/>
    </row>
    <row r="812" spans="1:12" x14ac:dyDescent="0.25">
      <c r="A812" s="141"/>
      <c r="B812" s="22" t="s">
        <v>329</v>
      </c>
      <c r="C812" s="143">
        <v>1</v>
      </c>
      <c r="D812" s="143"/>
      <c r="E812" s="24"/>
      <c r="F812" s="143"/>
      <c r="G812" s="79"/>
      <c r="H812" s="26"/>
      <c r="I812" s="26"/>
      <c r="J812" s="26"/>
      <c r="K812" s="26"/>
    </row>
    <row r="813" spans="1:12" ht="12.75" customHeight="1" x14ac:dyDescent="0.25">
      <c r="A813" s="142"/>
      <c r="B813" s="140" t="s">
        <v>36</v>
      </c>
      <c r="C813" s="140">
        <v>5</v>
      </c>
      <c r="D813" s="140"/>
      <c r="E813" s="28"/>
      <c r="F813" s="111"/>
      <c r="G813" s="111"/>
      <c r="H813" s="111"/>
      <c r="I813" s="29"/>
      <c r="J813" s="29"/>
      <c r="K813" s="29"/>
    </row>
    <row r="814" spans="1:12" x14ac:dyDescent="0.25">
      <c r="A814" s="141"/>
      <c r="B814" s="273"/>
      <c r="C814" s="273"/>
      <c r="D814" s="273"/>
      <c r="E814" s="273"/>
      <c r="F814" s="273"/>
      <c r="G814" s="273"/>
      <c r="H814" s="273"/>
      <c r="I814" s="273"/>
      <c r="J814" s="273"/>
      <c r="K814" s="141"/>
    </row>
    <row r="815" spans="1:12" x14ac:dyDescent="0.25">
      <c r="A815" s="19" t="s">
        <v>529</v>
      </c>
      <c r="B815" s="274" t="s">
        <v>528</v>
      </c>
      <c r="C815" s="274"/>
      <c r="D815" s="274"/>
      <c r="E815" s="274"/>
      <c r="F815" s="274"/>
      <c r="G815" s="274"/>
      <c r="H815" s="274"/>
      <c r="I815" s="274"/>
      <c r="J815" s="274"/>
      <c r="K815" s="20"/>
    </row>
    <row r="816" spans="1:12" x14ac:dyDescent="0.25">
      <c r="A816" s="275"/>
      <c r="B816" s="275"/>
      <c r="C816" s="21"/>
      <c r="D816" s="21"/>
      <c r="E816" s="21"/>
      <c r="F816" s="21"/>
      <c r="G816" s="275" t="s">
        <v>23</v>
      </c>
      <c r="H816" s="275"/>
      <c r="I816" s="275" t="s">
        <v>24</v>
      </c>
      <c r="J816" s="275"/>
      <c r="K816" s="275"/>
    </row>
    <row r="817" spans="1:11" x14ac:dyDescent="0.25">
      <c r="A817" s="275" t="s">
        <v>25</v>
      </c>
      <c r="B817" s="275"/>
      <c r="C817" s="275" t="s">
        <v>26</v>
      </c>
      <c r="D817" s="275" t="s">
        <v>27</v>
      </c>
      <c r="E817" s="275" t="s">
        <v>28</v>
      </c>
      <c r="F817" s="275" t="s">
        <v>29</v>
      </c>
      <c r="G817" s="116" t="s">
        <v>30</v>
      </c>
      <c r="H817" s="116" t="s">
        <v>31</v>
      </c>
      <c r="I817" s="116" t="s">
        <v>32</v>
      </c>
      <c r="J817" s="116" t="s">
        <v>30</v>
      </c>
      <c r="K817" s="116" t="s">
        <v>31</v>
      </c>
    </row>
    <row r="818" spans="1:11" x14ac:dyDescent="0.25">
      <c r="A818" s="275"/>
      <c r="B818" s="275"/>
      <c r="C818" s="275"/>
      <c r="D818" s="275"/>
      <c r="E818" s="275"/>
      <c r="F818" s="275"/>
      <c r="G818" s="116" t="s">
        <v>33</v>
      </c>
      <c r="H818" s="116" t="s">
        <v>34</v>
      </c>
      <c r="I818" s="116" t="s">
        <v>35</v>
      </c>
      <c r="J818" s="116" t="s">
        <v>33</v>
      </c>
      <c r="K818" s="116" t="s">
        <v>34</v>
      </c>
    </row>
    <row r="819" spans="1:11" x14ac:dyDescent="0.25">
      <c r="A819" s="116" t="s">
        <v>530</v>
      </c>
      <c r="B819" s="22" t="s">
        <v>531</v>
      </c>
      <c r="C819" s="23">
        <v>1</v>
      </c>
      <c r="D819" s="23">
        <v>2.2000000000000002</v>
      </c>
      <c r="E819" s="24">
        <v>0.65</v>
      </c>
      <c r="F819" s="23">
        <v>0.6</v>
      </c>
      <c r="G819" s="79">
        <v>0.39</v>
      </c>
      <c r="H819" s="26">
        <v>0.8580000000000001</v>
      </c>
      <c r="I819" s="26"/>
      <c r="J819" s="26"/>
      <c r="K819" s="26">
        <v>0.8580000000000001</v>
      </c>
    </row>
    <row r="820" spans="1:11" x14ac:dyDescent="0.25">
      <c r="A820" s="116" t="s">
        <v>533</v>
      </c>
      <c r="B820" s="22" t="s">
        <v>532</v>
      </c>
      <c r="C820" s="23">
        <v>1</v>
      </c>
      <c r="D820" s="23">
        <v>122.64</v>
      </c>
      <c r="E820" s="24">
        <v>0.6</v>
      </c>
      <c r="F820" s="23">
        <v>0.6</v>
      </c>
      <c r="G820" s="79">
        <v>0.36</v>
      </c>
      <c r="H820" s="26">
        <v>44.150399999999998</v>
      </c>
      <c r="I820" s="26"/>
      <c r="J820" s="26"/>
      <c r="K820" s="26">
        <v>44.150399999999998</v>
      </c>
    </row>
    <row r="821" spans="1:11" x14ac:dyDescent="0.25">
      <c r="A821" s="116" t="s">
        <v>534</v>
      </c>
      <c r="B821" s="22" t="s">
        <v>532</v>
      </c>
      <c r="C821" s="23">
        <v>1</v>
      </c>
      <c r="D821" s="23">
        <v>65.599999999999994</v>
      </c>
      <c r="E821" s="24">
        <v>0.6</v>
      </c>
      <c r="F821" s="23">
        <v>0.6</v>
      </c>
      <c r="G821" s="79">
        <v>0.36</v>
      </c>
      <c r="H821" s="26">
        <v>23.615999999999996</v>
      </c>
      <c r="I821" s="26"/>
      <c r="J821" s="26"/>
      <c r="K821" s="26">
        <v>23.615999999999996</v>
      </c>
    </row>
    <row r="822" spans="1:11" x14ac:dyDescent="0.25">
      <c r="A822" s="116" t="s">
        <v>535</v>
      </c>
      <c r="B822" s="22" t="s">
        <v>532</v>
      </c>
      <c r="C822" s="23">
        <v>1</v>
      </c>
      <c r="D822" s="23">
        <v>87.5</v>
      </c>
      <c r="E822" s="24">
        <v>0.4</v>
      </c>
      <c r="F822" s="23">
        <v>0.3</v>
      </c>
      <c r="G822" s="79">
        <v>0.12</v>
      </c>
      <c r="H822" s="26">
        <v>10.5</v>
      </c>
      <c r="I822" s="26"/>
      <c r="J822" s="26"/>
      <c r="K822" s="26">
        <v>10.5</v>
      </c>
    </row>
    <row r="823" spans="1:11" x14ac:dyDescent="0.25">
      <c r="A823" s="116" t="s">
        <v>537</v>
      </c>
      <c r="B823" s="22" t="s">
        <v>536</v>
      </c>
      <c r="C823" s="23">
        <v>1</v>
      </c>
      <c r="D823" s="23">
        <v>68.099999999999994</v>
      </c>
      <c r="E823" s="24">
        <v>0.3</v>
      </c>
      <c r="F823" s="23">
        <v>0.3</v>
      </c>
      <c r="G823" s="79">
        <v>0.09</v>
      </c>
      <c r="H823" s="26">
        <v>6.1289999999999996</v>
      </c>
      <c r="I823" s="26"/>
      <c r="J823" s="26"/>
      <c r="K823" s="26">
        <v>6.1289999999999996</v>
      </c>
    </row>
    <row r="824" spans="1:11" x14ac:dyDescent="0.25">
      <c r="A824" s="27"/>
      <c r="B824" s="28"/>
      <c r="C824" s="28"/>
      <c r="D824" s="28"/>
      <c r="E824" s="28"/>
      <c r="F824" s="272" t="s">
        <v>36</v>
      </c>
      <c r="G824" s="272"/>
      <c r="H824" s="272"/>
      <c r="I824" s="29"/>
      <c r="J824" s="29"/>
      <c r="K824" s="29">
        <v>85.25</v>
      </c>
    </row>
    <row r="826" spans="1:11" ht="28.5" customHeight="1" x14ac:dyDescent="0.25">
      <c r="A826" s="19" t="str">
        <f>'Lista de Serviços'!A346</f>
        <v>10.01.000</v>
      </c>
      <c r="B826" s="274" t="str">
        <f>'Lista de Serviços'!B349</f>
        <v>VIGIA NOTURNO COM ENCARGOS COMPLEMENTARES</v>
      </c>
      <c r="C826" s="274"/>
      <c r="D826" s="274"/>
      <c r="E826" s="274"/>
      <c r="F826" s="274"/>
      <c r="G826" s="274"/>
      <c r="H826" s="274"/>
      <c r="I826" s="274"/>
      <c r="J826" s="274"/>
      <c r="K826" s="20"/>
    </row>
    <row r="827" spans="1:11" ht="22.5" customHeight="1" x14ac:dyDescent="0.25">
      <c r="A827" s="22"/>
      <c r="B827" s="22"/>
      <c r="C827" s="224" t="s">
        <v>1640</v>
      </c>
      <c r="D827" s="224" t="s">
        <v>1641</v>
      </c>
      <c r="E827" s="224" t="s">
        <v>1642</v>
      </c>
      <c r="F827" s="278" t="s">
        <v>1643</v>
      </c>
      <c r="G827" s="278"/>
      <c r="H827" s="22"/>
      <c r="I827" s="22"/>
      <c r="J827" s="22"/>
      <c r="K827" s="22"/>
    </row>
    <row r="828" spans="1:11" x14ac:dyDescent="0.25">
      <c r="A828" s="22" t="s">
        <v>1636</v>
      </c>
      <c r="B828" s="22" t="s">
        <v>1637</v>
      </c>
      <c r="C828" s="22">
        <v>12</v>
      </c>
      <c r="D828" s="22">
        <v>21</v>
      </c>
      <c r="E828" s="22">
        <v>18</v>
      </c>
      <c r="F828" s="275">
        <f>E828*D828*C828</f>
        <v>4536</v>
      </c>
      <c r="G828" s="275"/>
      <c r="H828" s="223"/>
      <c r="I828" s="223"/>
      <c r="J828" s="223"/>
      <c r="K828" s="223"/>
    </row>
    <row r="829" spans="1:11" x14ac:dyDescent="0.25">
      <c r="A829" s="22" t="s">
        <v>1639</v>
      </c>
      <c r="B829" s="22" t="s">
        <v>1638</v>
      </c>
      <c r="C829" s="22">
        <v>24</v>
      </c>
      <c r="D829" s="22">
        <v>9</v>
      </c>
      <c r="E829" s="22">
        <v>18</v>
      </c>
      <c r="F829" s="275">
        <f>E829*D829*C829</f>
        <v>3888</v>
      </c>
      <c r="G829" s="275"/>
      <c r="H829" s="223"/>
      <c r="I829" s="223"/>
      <c r="J829" s="223"/>
      <c r="K829" s="223"/>
    </row>
    <row r="830" spans="1:11" x14ac:dyDescent="0.25">
      <c r="A830" s="223"/>
      <c r="B830" s="22"/>
      <c r="C830" s="225"/>
      <c r="D830" s="225"/>
      <c r="E830" s="24"/>
      <c r="F830" s="279">
        <f>SUM(F828:G829)</f>
        <v>8424</v>
      </c>
      <c r="G830" s="279"/>
      <c r="H830" s="26"/>
      <c r="I830" s="26"/>
      <c r="J830" s="26"/>
      <c r="K830" s="26"/>
    </row>
    <row r="831" spans="1:11" x14ac:dyDescent="0.25">
      <c r="A831" s="223"/>
      <c r="B831" s="22"/>
      <c r="C831" s="225"/>
      <c r="D831" s="225"/>
      <c r="E831" s="24"/>
      <c r="F831" s="225"/>
      <c r="G831" s="79"/>
      <c r="H831" s="26"/>
      <c r="I831" s="26"/>
      <c r="J831" s="26"/>
      <c r="K831" s="26"/>
    </row>
    <row r="833" spans="1:11" ht="28.5" customHeight="1" x14ac:dyDescent="0.25">
      <c r="A833" s="19" t="str">
        <f>'Lista de Serviços'!A353</f>
        <v>10.03.000</v>
      </c>
      <c r="B833" s="274" t="str">
        <f>'Lista de Serviços'!B355</f>
        <v>COLOCAÇÃO DE TELA EM ANDAIME FACHADEIRO. AF_11/2017</v>
      </c>
      <c r="C833" s="274"/>
      <c r="D833" s="274"/>
      <c r="E833" s="274"/>
      <c r="F833" s="274"/>
      <c r="G833" s="274"/>
      <c r="H833" s="274"/>
      <c r="I833" s="274"/>
      <c r="J833" s="274"/>
      <c r="K833" s="20"/>
    </row>
    <row r="834" spans="1:11" x14ac:dyDescent="0.25">
      <c r="A834" s="275"/>
      <c r="B834" s="275"/>
      <c r="C834" s="21"/>
      <c r="D834" s="21"/>
      <c r="E834" s="21"/>
      <c r="F834" s="21"/>
      <c r="G834" s="275" t="s">
        <v>23</v>
      </c>
      <c r="H834" s="275"/>
      <c r="I834" s="275" t="s">
        <v>24</v>
      </c>
      <c r="J834" s="275"/>
      <c r="K834" s="275"/>
    </row>
    <row r="835" spans="1:11" x14ac:dyDescent="0.25">
      <c r="A835" s="275" t="s">
        <v>25</v>
      </c>
      <c r="B835" s="275"/>
      <c r="C835" s="275" t="s">
        <v>26</v>
      </c>
      <c r="D835" s="275" t="s">
        <v>27</v>
      </c>
      <c r="E835" s="275" t="s">
        <v>28</v>
      </c>
      <c r="F835" s="275" t="s">
        <v>29</v>
      </c>
      <c r="G835" s="223" t="s">
        <v>30</v>
      </c>
      <c r="H835" s="223" t="s">
        <v>31</v>
      </c>
      <c r="I835" s="223" t="s">
        <v>32</v>
      </c>
      <c r="J835" s="223" t="s">
        <v>30</v>
      </c>
      <c r="K835" s="223" t="s">
        <v>31</v>
      </c>
    </row>
    <row r="836" spans="1:11" x14ac:dyDescent="0.25">
      <c r="A836" s="275"/>
      <c r="B836" s="275"/>
      <c r="C836" s="275"/>
      <c r="D836" s="275"/>
      <c r="E836" s="275"/>
      <c r="F836" s="275"/>
      <c r="G836" s="223" t="s">
        <v>33</v>
      </c>
      <c r="H836" s="223" t="s">
        <v>34</v>
      </c>
      <c r="I836" s="223" t="s">
        <v>35</v>
      </c>
      <c r="J836" s="223" t="s">
        <v>33</v>
      </c>
      <c r="K836" s="223" t="s">
        <v>34</v>
      </c>
    </row>
    <row r="837" spans="1:11" ht="22.5" x14ac:dyDescent="0.25">
      <c r="A837" s="223"/>
      <c r="B837" s="22" t="s">
        <v>1632</v>
      </c>
      <c r="C837" s="225">
        <v>1</v>
      </c>
      <c r="D837" s="225">
        <v>7.5</v>
      </c>
      <c r="E837" s="24"/>
      <c r="F837" s="225">
        <v>7.9</v>
      </c>
      <c r="G837" s="79">
        <f>F837*D837</f>
        <v>59.25</v>
      </c>
      <c r="H837" s="26"/>
      <c r="I837" s="26"/>
      <c r="J837" s="26">
        <f>G837*C837</f>
        <v>59.25</v>
      </c>
      <c r="K837" s="26"/>
    </row>
    <row r="838" spans="1:11" x14ac:dyDescent="0.25">
      <c r="A838" s="224"/>
      <c r="B838" s="28"/>
      <c r="C838" s="28"/>
      <c r="D838" s="28"/>
      <c r="E838" s="28"/>
      <c r="F838" s="272" t="s">
        <v>36</v>
      </c>
      <c r="G838" s="272"/>
      <c r="H838" s="272"/>
      <c r="I838" s="29"/>
      <c r="J838" s="29">
        <f>J837</f>
        <v>59.25</v>
      </c>
      <c r="K838" s="29"/>
    </row>
  </sheetData>
  <mergeCells count="705">
    <mergeCell ref="F838:H838"/>
    <mergeCell ref="B826:J826"/>
    <mergeCell ref="F827:G827"/>
    <mergeCell ref="F828:G828"/>
    <mergeCell ref="F829:G829"/>
    <mergeCell ref="F830:G830"/>
    <mergeCell ref="B833:J833"/>
    <mergeCell ref="A834:B834"/>
    <mergeCell ref="G834:H834"/>
    <mergeCell ref="I834:K834"/>
    <mergeCell ref="A835:B836"/>
    <mergeCell ref="C835:C836"/>
    <mergeCell ref="D835:D836"/>
    <mergeCell ref="E835:E836"/>
    <mergeCell ref="F835:F836"/>
    <mergeCell ref="B814:J814"/>
    <mergeCell ref="F634:H634"/>
    <mergeCell ref="B794:J794"/>
    <mergeCell ref="A795:B796"/>
    <mergeCell ref="C795:C796"/>
    <mergeCell ref="D795:D796"/>
    <mergeCell ref="E795:E796"/>
    <mergeCell ref="F795:F796"/>
    <mergeCell ref="B804:J804"/>
    <mergeCell ref="B805:J805"/>
    <mergeCell ref="B777:J777"/>
    <mergeCell ref="A788:B789"/>
    <mergeCell ref="C788:C789"/>
    <mergeCell ref="D788:D789"/>
    <mergeCell ref="E788:E789"/>
    <mergeCell ref="F788:F789"/>
    <mergeCell ref="B793:J793"/>
    <mergeCell ref="B767:J767"/>
    <mergeCell ref="A768:B769"/>
    <mergeCell ref="E779:E780"/>
    <mergeCell ref="F779:F780"/>
    <mergeCell ref="B766:J766"/>
    <mergeCell ref="B744:J744"/>
    <mergeCell ref="A745:B746"/>
    <mergeCell ref="A806:B807"/>
    <mergeCell ref="C806:C807"/>
    <mergeCell ref="D806:D807"/>
    <mergeCell ref="E806:E807"/>
    <mergeCell ref="F806:F807"/>
    <mergeCell ref="C768:C769"/>
    <mergeCell ref="D768:D769"/>
    <mergeCell ref="E768:E769"/>
    <mergeCell ref="F768:F769"/>
    <mergeCell ref="B786:J786"/>
    <mergeCell ref="B787:J787"/>
    <mergeCell ref="B778:J778"/>
    <mergeCell ref="A779:B780"/>
    <mergeCell ref="C779:C780"/>
    <mergeCell ref="D779:D780"/>
    <mergeCell ref="B669:J669"/>
    <mergeCell ref="A670:B670"/>
    <mergeCell ref="G670:H670"/>
    <mergeCell ref="I670:K670"/>
    <mergeCell ref="A671:B672"/>
    <mergeCell ref="C671:C672"/>
    <mergeCell ref="D671:D672"/>
    <mergeCell ref="E671:E672"/>
    <mergeCell ref="F671:F672"/>
    <mergeCell ref="F97:H97"/>
    <mergeCell ref="B98:J98"/>
    <mergeCell ref="B92:J92"/>
    <mergeCell ref="A93:B93"/>
    <mergeCell ref="G93:H93"/>
    <mergeCell ref="I93:K93"/>
    <mergeCell ref="A94:B95"/>
    <mergeCell ref="C94:C95"/>
    <mergeCell ref="D94:D95"/>
    <mergeCell ref="E94:E95"/>
    <mergeCell ref="F94:F95"/>
    <mergeCell ref="F46:H46"/>
    <mergeCell ref="B47:J47"/>
    <mergeCell ref="B41:J41"/>
    <mergeCell ref="A42:B42"/>
    <mergeCell ref="G42:H42"/>
    <mergeCell ref="I42:K42"/>
    <mergeCell ref="A43:B44"/>
    <mergeCell ref="C43:C44"/>
    <mergeCell ref="D43:D44"/>
    <mergeCell ref="E43:E44"/>
    <mergeCell ref="F43:F44"/>
    <mergeCell ref="F115:H115"/>
    <mergeCell ref="B116:J116"/>
    <mergeCell ref="B251:J251"/>
    <mergeCell ref="A252:B252"/>
    <mergeCell ref="G252:H252"/>
    <mergeCell ref="I252:K252"/>
    <mergeCell ref="F106:H106"/>
    <mergeCell ref="B107:J107"/>
    <mergeCell ref="B108:J108"/>
    <mergeCell ref="A109:B109"/>
    <mergeCell ref="G109:H109"/>
    <mergeCell ref="I109:K109"/>
    <mergeCell ref="A110:B111"/>
    <mergeCell ref="C110:C111"/>
    <mergeCell ref="D110:D111"/>
    <mergeCell ref="E110:E111"/>
    <mergeCell ref="F110:F111"/>
    <mergeCell ref="F182:H182"/>
    <mergeCell ref="F158:H158"/>
    <mergeCell ref="B159:J159"/>
    <mergeCell ref="B160:J160"/>
    <mergeCell ref="A161:B161"/>
    <mergeCell ref="G161:H161"/>
    <mergeCell ref="B117:J117"/>
    <mergeCell ref="B99:J99"/>
    <mergeCell ref="A100:B100"/>
    <mergeCell ref="G100:H100"/>
    <mergeCell ref="I100:K100"/>
    <mergeCell ref="A101:B102"/>
    <mergeCell ref="C101:C102"/>
    <mergeCell ref="D101:D102"/>
    <mergeCell ref="E101:E102"/>
    <mergeCell ref="F101:F102"/>
    <mergeCell ref="A119:B120"/>
    <mergeCell ref="C119:C120"/>
    <mergeCell ref="D119:D120"/>
    <mergeCell ref="E119:E120"/>
    <mergeCell ref="F119:F120"/>
    <mergeCell ref="B759:J759"/>
    <mergeCell ref="A752:B753"/>
    <mergeCell ref="C752:C753"/>
    <mergeCell ref="D752:D753"/>
    <mergeCell ref="E752:E753"/>
    <mergeCell ref="F752:F753"/>
    <mergeCell ref="F625:H625"/>
    <mergeCell ref="B610:J610"/>
    <mergeCell ref="A611:B611"/>
    <mergeCell ref="G611:H611"/>
    <mergeCell ref="I611:K611"/>
    <mergeCell ref="A612:B613"/>
    <mergeCell ref="B627:J627"/>
    <mergeCell ref="C745:C746"/>
    <mergeCell ref="D745:D746"/>
    <mergeCell ref="E745:E746"/>
    <mergeCell ref="D576:D577"/>
    <mergeCell ref="E576:E577"/>
    <mergeCell ref="F576:F577"/>
    <mergeCell ref="B760:J760"/>
    <mergeCell ref="A761:B762"/>
    <mergeCell ref="C761:C762"/>
    <mergeCell ref="D761:D762"/>
    <mergeCell ref="E761:E762"/>
    <mergeCell ref="F761:F762"/>
    <mergeCell ref="I161:K161"/>
    <mergeCell ref="A162:B163"/>
    <mergeCell ref="C162:C163"/>
    <mergeCell ref="D162:D163"/>
    <mergeCell ref="E162:E163"/>
    <mergeCell ref="F162:F163"/>
    <mergeCell ref="F314:H314"/>
    <mergeCell ref="A280:B280"/>
    <mergeCell ref="B284:J284"/>
    <mergeCell ref="A285:B285"/>
    <mergeCell ref="G285:H285"/>
    <mergeCell ref="I285:K285"/>
    <mergeCell ref="A286:B287"/>
    <mergeCell ref="C286:C287"/>
    <mergeCell ref="D286:D287"/>
    <mergeCell ref="E286:E287"/>
    <mergeCell ref="F286:F287"/>
    <mergeCell ref="B751:J751"/>
    <mergeCell ref="F745:F746"/>
    <mergeCell ref="F674:H674"/>
    <mergeCell ref="B675:J675"/>
    <mergeCell ref="B750:J750"/>
    <mergeCell ref="F732:H732"/>
    <mergeCell ref="B733:J733"/>
    <mergeCell ref="B734:J734"/>
    <mergeCell ref="A735:B735"/>
    <mergeCell ref="G735:H735"/>
    <mergeCell ref="I735:K735"/>
    <mergeCell ref="A736:B737"/>
    <mergeCell ref="C736:C737"/>
    <mergeCell ref="D736:D737"/>
    <mergeCell ref="E736:E737"/>
    <mergeCell ref="F736:F737"/>
    <mergeCell ref="F712:H712"/>
    <mergeCell ref="B713:J713"/>
    <mergeCell ref="B714:J714"/>
    <mergeCell ref="A715:B715"/>
    <mergeCell ref="G715:H715"/>
    <mergeCell ref="I715:K715"/>
    <mergeCell ref="B724:J724"/>
    <mergeCell ref="A725:B725"/>
    <mergeCell ref="G725:H725"/>
    <mergeCell ref="F592:H592"/>
    <mergeCell ref="F553:H553"/>
    <mergeCell ref="B545:J545"/>
    <mergeCell ref="A546:B546"/>
    <mergeCell ref="G546:H546"/>
    <mergeCell ref="I546:K546"/>
    <mergeCell ref="A547:B548"/>
    <mergeCell ref="C547:C548"/>
    <mergeCell ref="D547:D548"/>
    <mergeCell ref="E547:E548"/>
    <mergeCell ref="F547:F548"/>
    <mergeCell ref="B574:J574"/>
    <mergeCell ref="A575:B575"/>
    <mergeCell ref="G575:H575"/>
    <mergeCell ref="I575:K575"/>
    <mergeCell ref="A576:B577"/>
    <mergeCell ref="F584:H584"/>
    <mergeCell ref="C576:C577"/>
    <mergeCell ref="B461:J461"/>
    <mergeCell ref="B462:J462"/>
    <mergeCell ref="A463:B463"/>
    <mergeCell ref="G463:H463"/>
    <mergeCell ref="I463:K463"/>
    <mergeCell ref="B471:J471"/>
    <mergeCell ref="A464:B465"/>
    <mergeCell ref="C464:C465"/>
    <mergeCell ref="D464:D465"/>
    <mergeCell ref="E464:E465"/>
    <mergeCell ref="F464:F465"/>
    <mergeCell ref="F470:H470"/>
    <mergeCell ref="B468:F468"/>
    <mergeCell ref="B469:F469"/>
    <mergeCell ref="B443:J443"/>
    <mergeCell ref="A444:B444"/>
    <mergeCell ref="G444:H444"/>
    <mergeCell ref="I444:K444"/>
    <mergeCell ref="A445:B446"/>
    <mergeCell ref="C445:C446"/>
    <mergeCell ref="D445:D446"/>
    <mergeCell ref="E445:E446"/>
    <mergeCell ref="F445:F446"/>
    <mergeCell ref="B442:J442"/>
    <mergeCell ref="B433:J433"/>
    <mergeCell ref="A434:B434"/>
    <mergeCell ref="G434:H434"/>
    <mergeCell ref="I434:K434"/>
    <mergeCell ref="A435:B436"/>
    <mergeCell ref="C435:C436"/>
    <mergeCell ref="D435:D436"/>
    <mergeCell ref="E435:E436"/>
    <mergeCell ref="F431:H431"/>
    <mergeCell ref="F435:F436"/>
    <mergeCell ref="F441:H441"/>
    <mergeCell ref="F419:H419"/>
    <mergeCell ref="B420:J420"/>
    <mergeCell ref="B413:J413"/>
    <mergeCell ref="A414:B414"/>
    <mergeCell ref="G414:H414"/>
    <mergeCell ref="I414:K414"/>
    <mergeCell ref="A415:B416"/>
    <mergeCell ref="C415:C416"/>
    <mergeCell ref="D415:D416"/>
    <mergeCell ref="E415:E416"/>
    <mergeCell ref="F415:F416"/>
    <mergeCell ref="F392:H392"/>
    <mergeCell ref="B393:J393"/>
    <mergeCell ref="F378:H378"/>
    <mergeCell ref="B379:J379"/>
    <mergeCell ref="B380:J380"/>
    <mergeCell ref="C423:C424"/>
    <mergeCell ref="D423:D424"/>
    <mergeCell ref="E423:E424"/>
    <mergeCell ref="F423:F424"/>
    <mergeCell ref="A381:B381"/>
    <mergeCell ref="G381:H381"/>
    <mergeCell ref="I381:K381"/>
    <mergeCell ref="A382:B383"/>
    <mergeCell ref="C382:C383"/>
    <mergeCell ref="D382:D383"/>
    <mergeCell ref="E382:E383"/>
    <mergeCell ref="F382:F383"/>
    <mergeCell ref="B371:J371"/>
    <mergeCell ref="A372:B372"/>
    <mergeCell ref="G372:H372"/>
    <mergeCell ref="I372:K372"/>
    <mergeCell ref="A373:B374"/>
    <mergeCell ref="C373:C374"/>
    <mergeCell ref="D373:D374"/>
    <mergeCell ref="E373:E374"/>
    <mergeCell ref="F373:F374"/>
    <mergeCell ref="B394:J394"/>
    <mergeCell ref="A395:B395"/>
    <mergeCell ref="G395:H395"/>
    <mergeCell ref="I395:K395"/>
    <mergeCell ref="A396:B397"/>
    <mergeCell ref="C396:C397"/>
    <mergeCell ref="D396:D397"/>
    <mergeCell ref="E396:E397"/>
    <mergeCell ref="F396:F397"/>
    <mergeCell ref="A2:K2"/>
    <mergeCell ref="A3:K3"/>
    <mergeCell ref="A4:K4"/>
    <mergeCell ref="F357:H357"/>
    <mergeCell ref="B12:J12"/>
    <mergeCell ref="B347:J347"/>
    <mergeCell ref="A348:B348"/>
    <mergeCell ref="G348:H348"/>
    <mergeCell ref="I348:K348"/>
    <mergeCell ref="A349:B350"/>
    <mergeCell ref="C349:C350"/>
    <mergeCell ref="D349:D350"/>
    <mergeCell ref="E349:E350"/>
    <mergeCell ref="F349:F350"/>
    <mergeCell ref="B316:J316"/>
    <mergeCell ref="A317:B317"/>
    <mergeCell ref="G317:H317"/>
    <mergeCell ref="I317:K317"/>
    <mergeCell ref="B184:J184"/>
    <mergeCell ref="A185:B185"/>
    <mergeCell ref="G185:H185"/>
    <mergeCell ref="A118:B118"/>
    <mergeCell ref="G118:H118"/>
    <mergeCell ref="I118:K118"/>
    <mergeCell ref="A318:B319"/>
    <mergeCell ref="C318:C319"/>
    <mergeCell ref="D318:D319"/>
    <mergeCell ref="E318:E319"/>
    <mergeCell ref="F318:F319"/>
    <mergeCell ref="F369:H369"/>
    <mergeCell ref="B370:J370"/>
    <mergeCell ref="B358:J358"/>
    <mergeCell ref="B359:J359"/>
    <mergeCell ref="A360:B360"/>
    <mergeCell ref="G360:H360"/>
    <mergeCell ref="I360:K360"/>
    <mergeCell ref="A361:B362"/>
    <mergeCell ref="C361:C362"/>
    <mergeCell ref="D361:D362"/>
    <mergeCell ref="E361:E362"/>
    <mergeCell ref="F361:F362"/>
    <mergeCell ref="F495:H495"/>
    <mergeCell ref="B496:J496"/>
    <mergeCell ref="F460:H460"/>
    <mergeCell ref="F345:H345"/>
    <mergeCell ref="B346:J346"/>
    <mergeCell ref="B403:J403"/>
    <mergeCell ref="A404:B404"/>
    <mergeCell ref="G404:H404"/>
    <mergeCell ref="I404:K404"/>
    <mergeCell ref="F401:H401"/>
    <mergeCell ref="B402:J402"/>
    <mergeCell ref="B421:J421"/>
    <mergeCell ref="A422:B422"/>
    <mergeCell ref="G422:H422"/>
    <mergeCell ref="I422:K422"/>
    <mergeCell ref="A405:B406"/>
    <mergeCell ref="C405:C406"/>
    <mergeCell ref="D405:D406"/>
    <mergeCell ref="E405:E406"/>
    <mergeCell ref="F405:F406"/>
    <mergeCell ref="F411:H411"/>
    <mergeCell ref="B412:J412"/>
    <mergeCell ref="B432:J432"/>
    <mergeCell ref="A423:B424"/>
    <mergeCell ref="B490:J490"/>
    <mergeCell ref="A491:B491"/>
    <mergeCell ref="G491:H491"/>
    <mergeCell ref="I491:K491"/>
    <mergeCell ref="A492:B493"/>
    <mergeCell ref="C492:C493"/>
    <mergeCell ref="D492:D493"/>
    <mergeCell ref="E492:E493"/>
    <mergeCell ref="F492:F493"/>
    <mergeCell ref="B497:J497"/>
    <mergeCell ref="A498:B498"/>
    <mergeCell ref="G498:H498"/>
    <mergeCell ref="I498:K498"/>
    <mergeCell ref="A499:B500"/>
    <mergeCell ref="C499:C500"/>
    <mergeCell ref="D499:D500"/>
    <mergeCell ref="E499:E500"/>
    <mergeCell ref="F499:F500"/>
    <mergeCell ref="F527:H527"/>
    <mergeCell ref="B528:J528"/>
    <mergeCell ref="F509:H509"/>
    <mergeCell ref="B510:J510"/>
    <mergeCell ref="B529:J529"/>
    <mergeCell ref="A530:B530"/>
    <mergeCell ref="G530:H530"/>
    <mergeCell ref="I530:K530"/>
    <mergeCell ref="A531:B532"/>
    <mergeCell ref="C531:C532"/>
    <mergeCell ref="D531:D532"/>
    <mergeCell ref="E531:E532"/>
    <mergeCell ref="F531:F532"/>
    <mergeCell ref="B511:J511"/>
    <mergeCell ref="A512:B512"/>
    <mergeCell ref="G512:H512"/>
    <mergeCell ref="I512:K512"/>
    <mergeCell ref="A513:B514"/>
    <mergeCell ref="C513:C514"/>
    <mergeCell ref="D513:D514"/>
    <mergeCell ref="E513:E514"/>
    <mergeCell ref="F513:F514"/>
    <mergeCell ref="F517:H517"/>
    <mergeCell ref="B518:J518"/>
    <mergeCell ref="B519:J519"/>
    <mergeCell ref="A520:B520"/>
    <mergeCell ref="G520:H520"/>
    <mergeCell ref="I520:K520"/>
    <mergeCell ref="A521:B522"/>
    <mergeCell ref="C521:C522"/>
    <mergeCell ref="D521:D522"/>
    <mergeCell ref="E521:E522"/>
    <mergeCell ref="F521:F522"/>
    <mergeCell ref="I725:K725"/>
    <mergeCell ref="B586:J586"/>
    <mergeCell ref="F588:F589"/>
    <mergeCell ref="F543:H543"/>
    <mergeCell ref="B704:J704"/>
    <mergeCell ref="A705:B705"/>
    <mergeCell ref="G705:H705"/>
    <mergeCell ref="I705:K705"/>
    <mergeCell ref="A706:B707"/>
    <mergeCell ref="C706:C707"/>
    <mergeCell ref="D706:D707"/>
    <mergeCell ref="E706:E707"/>
    <mergeCell ref="F706:F707"/>
    <mergeCell ref="B593:J593"/>
    <mergeCell ref="B594:J594"/>
    <mergeCell ref="A595:B595"/>
    <mergeCell ref="G595:H595"/>
    <mergeCell ref="I595:K595"/>
    <mergeCell ref="A596:B597"/>
    <mergeCell ref="C596:C597"/>
    <mergeCell ref="D596:D597"/>
    <mergeCell ref="E596:E597"/>
    <mergeCell ref="F596:F597"/>
    <mergeCell ref="A604:B605"/>
    <mergeCell ref="E612:E613"/>
    <mergeCell ref="F612:F613"/>
    <mergeCell ref="F642:H642"/>
    <mergeCell ref="B643:J643"/>
    <mergeCell ref="B636:J636"/>
    <mergeCell ref="A637:B637"/>
    <mergeCell ref="G637:H637"/>
    <mergeCell ref="I637:K637"/>
    <mergeCell ref="A638:B639"/>
    <mergeCell ref="C638:C639"/>
    <mergeCell ref="D638:D639"/>
    <mergeCell ref="E638:E639"/>
    <mergeCell ref="F638:F639"/>
    <mergeCell ref="A628:B628"/>
    <mergeCell ref="G628:H628"/>
    <mergeCell ref="I628:K628"/>
    <mergeCell ref="A629:B630"/>
    <mergeCell ref="C629:C630"/>
    <mergeCell ref="D629:D630"/>
    <mergeCell ref="E629:E630"/>
    <mergeCell ref="F629:F630"/>
    <mergeCell ref="C612:C613"/>
    <mergeCell ref="D612:D613"/>
    <mergeCell ref="C229:C230"/>
    <mergeCell ref="D229:D230"/>
    <mergeCell ref="E229:E230"/>
    <mergeCell ref="F229:F230"/>
    <mergeCell ref="I185:K185"/>
    <mergeCell ref="A186:B187"/>
    <mergeCell ref="C186:C187"/>
    <mergeCell ref="D186:D187"/>
    <mergeCell ref="E186:E187"/>
    <mergeCell ref="F186:F187"/>
    <mergeCell ref="F225:H225"/>
    <mergeCell ref="B226:J226"/>
    <mergeCell ref="A716:B717"/>
    <mergeCell ref="C716:C717"/>
    <mergeCell ref="D716:D717"/>
    <mergeCell ref="E716:E717"/>
    <mergeCell ref="F716:F717"/>
    <mergeCell ref="F722:H722"/>
    <mergeCell ref="B723:J723"/>
    <mergeCell ref="F824:H824"/>
    <mergeCell ref="B815:J815"/>
    <mergeCell ref="A816:B816"/>
    <mergeCell ref="G816:H816"/>
    <mergeCell ref="I816:K816"/>
    <mergeCell ref="A817:B818"/>
    <mergeCell ref="C817:C818"/>
    <mergeCell ref="D817:D818"/>
    <mergeCell ref="E817:E818"/>
    <mergeCell ref="F817:F818"/>
    <mergeCell ref="A726:B727"/>
    <mergeCell ref="C726:C727"/>
    <mergeCell ref="D726:D727"/>
    <mergeCell ref="F742:H742"/>
    <mergeCell ref="B743:J743"/>
    <mergeCell ref="E726:E727"/>
    <mergeCell ref="F726:F727"/>
    <mergeCell ref="B688:J688"/>
    <mergeCell ref="A689:B689"/>
    <mergeCell ref="G689:H689"/>
    <mergeCell ref="I689:K689"/>
    <mergeCell ref="A690:B691"/>
    <mergeCell ref="C690:C691"/>
    <mergeCell ref="D690:D691"/>
    <mergeCell ref="E690:E691"/>
    <mergeCell ref="F690:F691"/>
    <mergeCell ref="F702:H702"/>
    <mergeCell ref="B703:J703"/>
    <mergeCell ref="B644:J644"/>
    <mergeCell ref="A645:B645"/>
    <mergeCell ref="G645:H645"/>
    <mergeCell ref="I645:K645"/>
    <mergeCell ref="A646:B647"/>
    <mergeCell ref="C646:C647"/>
    <mergeCell ref="D646:D647"/>
    <mergeCell ref="E646:E647"/>
    <mergeCell ref="F646:F647"/>
    <mergeCell ref="F686:H686"/>
    <mergeCell ref="B687:J687"/>
    <mergeCell ref="F694:H694"/>
    <mergeCell ref="B695:J695"/>
    <mergeCell ref="B696:J696"/>
    <mergeCell ref="A697:B697"/>
    <mergeCell ref="G697:H697"/>
    <mergeCell ref="I697:K697"/>
    <mergeCell ref="A698:B699"/>
    <mergeCell ref="C698:C699"/>
    <mergeCell ref="D698:D699"/>
    <mergeCell ref="E698:E699"/>
    <mergeCell ref="F698:F699"/>
    <mergeCell ref="F39:H39"/>
    <mergeCell ref="B40:J40"/>
    <mergeCell ref="B25:J25"/>
    <mergeCell ref="A26:B26"/>
    <mergeCell ref="G26:H26"/>
    <mergeCell ref="I26:K26"/>
    <mergeCell ref="A27:B28"/>
    <mergeCell ref="C27:C28"/>
    <mergeCell ref="D27:D28"/>
    <mergeCell ref="E27:E28"/>
    <mergeCell ref="F27:F28"/>
    <mergeCell ref="F30:H30"/>
    <mergeCell ref="B31:J31"/>
    <mergeCell ref="B32:J32"/>
    <mergeCell ref="A33:B33"/>
    <mergeCell ref="G33:H33"/>
    <mergeCell ref="I33:K33"/>
    <mergeCell ref="A34:B35"/>
    <mergeCell ref="C34:C35"/>
    <mergeCell ref="D34:D35"/>
    <mergeCell ref="E34:E35"/>
    <mergeCell ref="F34:F35"/>
    <mergeCell ref="E57:E58"/>
    <mergeCell ref="F57:F58"/>
    <mergeCell ref="B48:J48"/>
    <mergeCell ref="A49:B49"/>
    <mergeCell ref="G49:H49"/>
    <mergeCell ref="I49:K49"/>
    <mergeCell ref="A50:B51"/>
    <mergeCell ref="C50:C51"/>
    <mergeCell ref="D50:D51"/>
    <mergeCell ref="E50:E51"/>
    <mergeCell ref="F50:F51"/>
    <mergeCell ref="A587:B587"/>
    <mergeCell ref="G587:H587"/>
    <mergeCell ref="F67:H67"/>
    <mergeCell ref="B68:J68"/>
    <mergeCell ref="B84:J84"/>
    <mergeCell ref="A85:B85"/>
    <mergeCell ref="G85:H85"/>
    <mergeCell ref="I85:K85"/>
    <mergeCell ref="A86:B87"/>
    <mergeCell ref="C86:C87"/>
    <mergeCell ref="D86:D87"/>
    <mergeCell ref="E86:E87"/>
    <mergeCell ref="F86:F87"/>
    <mergeCell ref="B69:J69"/>
    <mergeCell ref="A70:B70"/>
    <mergeCell ref="G70:H70"/>
    <mergeCell ref="I70:K70"/>
    <mergeCell ref="A71:B72"/>
    <mergeCell ref="C71:C72"/>
    <mergeCell ref="D71:D72"/>
    <mergeCell ref="E71:E72"/>
    <mergeCell ref="F71:F72"/>
    <mergeCell ref="F75:H75"/>
    <mergeCell ref="B76:J76"/>
    <mergeCell ref="F658:H658"/>
    <mergeCell ref="B659:J659"/>
    <mergeCell ref="B653:J653"/>
    <mergeCell ref="A654:B654"/>
    <mergeCell ref="G654:H654"/>
    <mergeCell ref="I654:K654"/>
    <mergeCell ref="A655:B656"/>
    <mergeCell ref="C655:C656"/>
    <mergeCell ref="D655:D656"/>
    <mergeCell ref="E655:E656"/>
    <mergeCell ref="F655:F656"/>
    <mergeCell ref="A556:B556"/>
    <mergeCell ref="G556:H556"/>
    <mergeCell ref="I556:K556"/>
    <mergeCell ref="A557:B558"/>
    <mergeCell ref="C557:C558"/>
    <mergeCell ref="D557:D558"/>
    <mergeCell ref="E557:E558"/>
    <mergeCell ref="F557:F558"/>
    <mergeCell ref="F572:H572"/>
    <mergeCell ref="F90:H90"/>
    <mergeCell ref="B91:J91"/>
    <mergeCell ref="F651:H651"/>
    <mergeCell ref="B652:J652"/>
    <mergeCell ref="F600:H600"/>
    <mergeCell ref="B602:J602"/>
    <mergeCell ref="A603:B603"/>
    <mergeCell ref="G603:H603"/>
    <mergeCell ref="I603:K603"/>
    <mergeCell ref="F483:F484"/>
    <mergeCell ref="F488:H488"/>
    <mergeCell ref="B489:J489"/>
    <mergeCell ref="B555:J555"/>
    <mergeCell ref="I587:K587"/>
    <mergeCell ref="A588:B589"/>
    <mergeCell ref="C588:C589"/>
    <mergeCell ref="D588:D589"/>
    <mergeCell ref="E588:E589"/>
    <mergeCell ref="F249:H249"/>
    <mergeCell ref="B227:J227"/>
    <mergeCell ref="A228:B228"/>
    <mergeCell ref="G228:H228"/>
    <mergeCell ref="I228:K228"/>
    <mergeCell ref="A229:B230"/>
    <mergeCell ref="F474:F475"/>
    <mergeCell ref="F479:H479"/>
    <mergeCell ref="B480:J480"/>
    <mergeCell ref="B481:J481"/>
    <mergeCell ref="A482:B482"/>
    <mergeCell ref="G482:H482"/>
    <mergeCell ref="I482:K482"/>
    <mergeCell ref="A483:B484"/>
    <mergeCell ref="C483:C484"/>
    <mergeCell ref="D483:D484"/>
    <mergeCell ref="E483:E484"/>
    <mergeCell ref="E79:E80"/>
    <mergeCell ref="F79:F80"/>
    <mergeCell ref="F23:H23"/>
    <mergeCell ref="B24:J24"/>
    <mergeCell ref="B13:J13"/>
    <mergeCell ref="A14:B14"/>
    <mergeCell ref="G14:H14"/>
    <mergeCell ref="I14:K14"/>
    <mergeCell ref="A15:B16"/>
    <mergeCell ref="C15:C16"/>
    <mergeCell ref="D15:D16"/>
    <mergeCell ref="E15:E16"/>
    <mergeCell ref="F15:F16"/>
    <mergeCell ref="B75:E75"/>
    <mergeCell ref="D74:F74"/>
    <mergeCell ref="F53:H53"/>
    <mergeCell ref="B54:J54"/>
    <mergeCell ref="B55:J55"/>
    <mergeCell ref="A56:B56"/>
    <mergeCell ref="G56:H56"/>
    <mergeCell ref="I56:K56"/>
    <mergeCell ref="A57:B58"/>
    <mergeCell ref="C57:C58"/>
    <mergeCell ref="D57:D58"/>
    <mergeCell ref="A677:B677"/>
    <mergeCell ref="G677:H677"/>
    <mergeCell ref="I677:K677"/>
    <mergeCell ref="A678:B679"/>
    <mergeCell ref="C678:C679"/>
    <mergeCell ref="D678:D679"/>
    <mergeCell ref="E678:E679"/>
    <mergeCell ref="F678:F679"/>
    <mergeCell ref="C604:C605"/>
    <mergeCell ref="D604:D605"/>
    <mergeCell ref="E604:E605"/>
    <mergeCell ref="F604:F605"/>
    <mergeCell ref="F608:H608"/>
    <mergeCell ref="B660:J660"/>
    <mergeCell ref="A661:B661"/>
    <mergeCell ref="G661:H661"/>
    <mergeCell ref="I661:K661"/>
    <mergeCell ref="A662:B663"/>
    <mergeCell ref="C662:C663"/>
    <mergeCell ref="D662:D663"/>
    <mergeCell ref="E662:E663"/>
    <mergeCell ref="F662:F663"/>
    <mergeCell ref="F667:H667"/>
    <mergeCell ref="B668:J668"/>
    <mergeCell ref="B10:K10"/>
    <mergeCell ref="C11:K11"/>
    <mergeCell ref="B6:K6"/>
    <mergeCell ref="B7:K7"/>
    <mergeCell ref="B8:K8"/>
    <mergeCell ref="B9:K9"/>
    <mergeCell ref="F82:H82"/>
    <mergeCell ref="B83:J83"/>
    <mergeCell ref="B676:J676"/>
    <mergeCell ref="B472:J472"/>
    <mergeCell ref="A473:B473"/>
    <mergeCell ref="G473:H473"/>
    <mergeCell ref="I473:K473"/>
    <mergeCell ref="A474:B475"/>
    <mergeCell ref="C474:C475"/>
    <mergeCell ref="D474:D475"/>
    <mergeCell ref="E474:E475"/>
    <mergeCell ref="B77:J77"/>
    <mergeCell ref="A78:B78"/>
    <mergeCell ref="G78:H78"/>
    <mergeCell ref="I78:K78"/>
    <mergeCell ref="A79:B80"/>
    <mergeCell ref="C79:C80"/>
    <mergeCell ref="D79:D80"/>
  </mergeCells>
  <phoneticPr fontId="3" type="noConversion"/>
  <pageMargins left="0.25" right="0.25" top="0.75" bottom="0.82343750000000004" header="0.3" footer="0.3"/>
  <pageSetup paperSize="9" scale="85" firstPageNumber="182" fitToHeight="30" orientation="portrait" useFirstPageNumber="1" r:id="rId1"/>
  <headerFooter>
    <oddFooter>&amp;CEng. Civil Daniele Firme Miranda
CREA nº 24965/D-DF
ART nº 0720200047165</oddFooter>
  </headerFooter>
  <rowBreaks count="17" manualBreakCount="17">
    <brk id="54" max="10" man="1"/>
    <brk id="107" max="10" man="1"/>
    <brk id="159" max="10" man="1"/>
    <brk id="183" max="10" man="1"/>
    <brk id="226" max="10" man="1"/>
    <brk id="283" max="10" man="1"/>
    <brk id="315" max="10" man="1"/>
    <brk id="358" max="10" man="1"/>
    <brk id="402" max="10" man="1"/>
    <brk id="442" max="10" man="1"/>
    <brk id="496" max="10" man="1"/>
    <brk id="554" max="10" man="1"/>
    <brk id="609" max="10" man="1"/>
    <brk id="668" max="10" man="1"/>
    <brk id="723" max="10" man="1"/>
    <brk id="777" max="10" man="1"/>
    <brk id="832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211A1-993A-4E90-9687-892181C4C0CB}">
  <dimension ref="A1:AB40"/>
  <sheetViews>
    <sheetView view="pageLayout" topLeftCell="D61" zoomScale="85" zoomScaleNormal="40" zoomScaleSheetLayoutView="55" zoomScalePageLayoutView="85" workbookViewId="0">
      <selection activeCell="E34" sqref="E34"/>
    </sheetView>
  </sheetViews>
  <sheetFormatPr defaultRowHeight="15" x14ac:dyDescent="0.25"/>
  <cols>
    <col min="1" max="1" width="4.140625" style="74" bestFit="1" customWidth="1"/>
    <col min="2" max="2" width="32" style="75" bestFit="1" customWidth="1"/>
    <col min="3" max="4" width="11.28515625" style="53" customWidth="1"/>
    <col min="5" max="5" width="9" style="12" customWidth="1"/>
    <col min="6" max="10" width="9.140625" style="12"/>
    <col min="11" max="16" width="9.140625" style="72"/>
    <col min="17" max="28" width="9.140625" style="12"/>
    <col min="29" max="16384" width="9.140625" style="7"/>
  </cols>
  <sheetData>
    <row r="1" spans="1:28" s="46" customFormat="1" x14ac:dyDescent="0.25">
      <c r="A1" s="287" t="s">
        <v>75</v>
      </c>
      <c r="B1" s="285" t="s">
        <v>73</v>
      </c>
      <c r="C1" s="283" t="s">
        <v>233</v>
      </c>
      <c r="D1" s="283" t="s">
        <v>79</v>
      </c>
      <c r="E1" s="280" t="s">
        <v>77</v>
      </c>
      <c r="F1" s="281"/>
      <c r="G1" s="281"/>
      <c r="H1" s="281"/>
      <c r="I1" s="281"/>
      <c r="J1" s="282"/>
      <c r="K1" s="289" t="s">
        <v>76</v>
      </c>
      <c r="L1" s="290"/>
      <c r="M1" s="290"/>
      <c r="N1" s="290"/>
      <c r="O1" s="290"/>
      <c r="P1" s="291"/>
      <c r="Q1" s="280" t="s">
        <v>80</v>
      </c>
      <c r="R1" s="281"/>
      <c r="S1" s="281"/>
      <c r="T1" s="281"/>
      <c r="U1" s="281"/>
      <c r="V1" s="282"/>
      <c r="W1" s="280" t="s">
        <v>81</v>
      </c>
      <c r="X1" s="281"/>
      <c r="Y1" s="281"/>
      <c r="Z1" s="281"/>
      <c r="AA1" s="281"/>
      <c r="AB1" s="282"/>
    </row>
    <row r="2" spans="1:28" s="45" customFormat="1" ht="15.75" thickBot="1" x14ac:dyDescent="0.3">
      <c r="A2" s="288"/>
      <c r="B2" s="286"/>
      <c r="C2" s="284"/>
      <c r="D2" s="284"/>
      <c r="E2" s="50">
        <v>1</v>
      </c>
      <c r="F2" s="51">
        <v>2</v>
      </c>
      <c r="G2" s="51">
        <v>5</v>
      </c>
      <c r="H2" s="51">
        <v>6</v>
      </c>
      <c r="I2" s="51">
        <v>7</v>
      </c>
      <c r="J2" s="52">
        <v>8</v>
      </c>
      <c r="K2" s="54">
        <v>1</v>
      </c>
      <c r="L2" s="55">
        <v>2</v>
      </c>
      <c r="M2" s="55">
        <v>5</v>
      </c>
      <c r="N2" s="55">
        <v>6</v>
      </c>
      <c r="O2" s="55">
        <v>7</v>
      </c>
      <c r="P2" s="56">
        <v>8</v>
      </c>
      <c r="Q2" s="47">
        <v>1</v>
      </c>
      <c r="R2" s="48">
        <v>2</v>
      </c>
      <c r="S2" s="48">
        <v>5</v>
      </c>
      <c r="T2" s="48">
        <v>6</v>
      </c>
      <c r="U2" s="48">
        <v>7</v>
      </c>
      <c r="V2" s="49">
        <v>8</v>
      </c>
      <c r="W2" s="47">
        <v>1</v>
      </c>
      <c r="X2" s="48">
        <v>2</v>
      </c>
      <c r="Y2" s="48">
        <v>5</v>
      </c>
      <c r="Z2" s="48">
        <v>6</v>
      </c>
      <c r="AA2" s="48">
        <v>7</v>
      </c>
      <c r="AB2" s="49">
        <v>8</v>
      </c>
    </row>
    <row r="3" spans="1:28" x14ac:dyDescent="0.25">
      <c r="A3" s="73" t="s">
        <v>74</v>
      </c>
      <c r="B3" s="191" t="s">
        <v>78</v>
      </c>
      <c r="C3" s="192">
        <v>3.17</v>
      </c>
      <c r="D3" s="192">
        <v>3.88</v>
      </c>
      <c r="E3" s="62">
        <v>85.42</v>
      </c>
      <c r="F3" s="63">
        <v>17.2</v>
      </c>
      <c r="G3" s="63"/>
      <c r="H3" s="63"/>
      <c r="I3" s="63"/>
      <c r="J3" s="64"/>
      <c r="K3" s="60">
        <f>8*(0.9*2.1)+(1.6*2.1)+(14.5*2.25)</f>
        <v>51.105000000000004</v>
      </c>
      <c r="L3" s="61"/>
      <c r="M3" s="61"/>
      <c r="N3" s="61"/>
      <c r="O3" s="61"/>
      <c r="P3" s="61"/>
      <c r="Q3" s="62">
        <f t="shared" ref="Q3:Q21" si="0">(E3*$C3)-K3</f>
        <v>219.6764</v>
      </c>
      <c r="R3" s="63">
        <f t="shared" ref="R3:R21" si="1">(F3*$C3)-L3</f>
        <v>54.523999999999994</v>
      </c>
      <c r="S3" s="63">
        <f t="shared" ref="S3:S21" si="2">(G3*$C3)-M3</f>
        <v>0</v>
      </c>
      <c r="T3" s="63">
        <f t="shared" ref="T3:T21" si="3">(H3*$C3)-N3</f>
        <v>0</v>
      </c>
      <c r="U3" s="63">
        <f t="shared" ref="U3:U21" si="4">(I3*$C3)-O3</f>
        <v>0</v>
      </c>
      <c r="V3" s="63">
        <f t="shared" ref="V3:V21" si="5">(J3*$C3)-P3</f>
        <v>0</v>
      </c>
      <c r="W3" s="62">
        <f t="shared" ref="W3:W39" si="6">(E3*$D3)-K3</f>
        <v>280.32459999999998</v>
      </c>
      <c r="X3" s="63" t="s">
        <v>83</v>
      </c>
      <c r="Y3" s="63">
        <f t="shared" ref="Y3:Y21" si="7">(G3*$D3)-M3</f>
        <v>0</v>
      </c>
      <c r="Z3" s="63">
        <f t="shared" ref="Z3:Z21" si="8">(H3*$D3)-N3</f>
        <v>0</v>
      </c>
      <c r="AA3" s="63">
        <f t="shared" ref="AA3:AA21" si="9">(I3*$D3)-O3</f>
        <v>0</v>
      </c>
      <c r="AB3" s="64">
        <f t="shared" ref="AB3:AB21" si="10">(J3*$D3)-P3</f>
        <v>0</v>
      </c>
    </row>
    <row r="4" spans="1:28" x14ac:dyDescent="0.25">
      <c r="A4" s="73" t="s">
        <v>74</v>
      </c>
      <c r="B4" s="193" t="s">
        <v>82</v>
      </c>
      <c r="C4" s="194">
        <v>3.17</v>
      </c>
      <c r="D4" s="194">
        <v>3.88</v>
      </c>
      <c r="E4" s="57">
        <v>31.9</v>
      </c>
      <c r="F4" s="58"/>
      <c r="G4" s="58"/>
      <c r="H4" s="58"/>
      <c r="I4" s="58"/>
      <c r="J4" s="59"/>
      <c r="K4" s="65">
        <f>(1.6*2.1)+(7.35*2.25)</f>
        <v>19.897499999999997</v>
      </c>
      <c r="L4" s="66"/>
      <c r="M4" s="66"/>
      <c r="N4" s="66"/>
      <c r="O4" s="66"/>
      <c r="P4" s="66"/>
      <c r="Q4" s="57">
        <f t="shared" si="0"/>
        <v>81.225499999999997</v>
      </c>
      <c r="R4" s="58">
        <f t="shared" si="1"/>
        <v>0</v>
      </c>
      <c r="S4" s="58">
        <f t="shared" si="2"/>
        <v>0</v>
      </c>
      <c r="T4" s="58">
        <f t="shared" si="3"/>
        <v>0</v>
      </c>
      <c r="U4" s="58">
        <f t="shared" si="4"/>
        <v>0</v>
      </c>
      <c r="V4" s="58">
        <f t="shared" si="5"/>
        <v>0</v>
      </c>
      <c r="W4" s="57">
        <f t="shared" si="6"/>
        <v>103.8745</v>
      </c>
      <c r="X4" s="58">
        <f t="shared" ref="X4:X10" si="11">(F4*$D4)-L4</f>
        <v>0</v>
      </c>
      <c r="Y4" s="58">
        <f t="shared" si="7"/>
        <v>0</v>
      </c>
      <c r="Z4" s="58">
        <f t="shared" si="8"/>
        <v>0</v>
      </c>
      <c r="AA4" s="58">
        <f t="shared" si="9"/>
        <v>0</v>
      </c>
      <c r="AB4" s="59">
        <f t="shared" si="10"/>
        <v>0</v>
      </c>
    </row>
    <row r="5" spans="1:28" x14ac:dyDescent="0.25">
      <c r="A5" s="73" t="s">
        <v>74</v>
      </c>
      <c r="B5" s="193" t="s">
        <v>84</v>
      </c>
      <c r="C5" s="194">
        <v>3.17</v>
      </c>
      <c r="D5" s="194">
        <v>3.88</v>
      </c>
      <c r="E5" s="57">
        <v>5.1100000000000003</v>
      </c>
      <c r="F5" s="58"/>
      <c r="G5" s="58"/>
      <c r="H5" s="58"/>
      <c r="I5" s="58"/>
      <c r="J5" s="59"/>
      <c r="K5" s="65">
        <f>(0.9*2.1)</f>
        <v>1.8900000000000001</v>
      </c>
      <c r="L5" s="66"/>
      <c r="M5" s="66"/>
      <c r="N5" s="66"/>
      <c r="O5" s="66"/>
      <c r="P5" s="66"/>
      <c r="Q5" s="57">
        <f t="shared" si="0"/>
        <v>14.308700000000002</v>
      </c>
      <c r="R5" s="58">
        <f t="shared" si="1"/>
        <v>0</v>
      </c>
      <c r="S5" s="58">
        <f t="shared" si="2"/>
        <v>0</v>
      </c>
      <c r="T5" s="58">
        <f t="shared" si="3"/>
        <v>0</v>
      </c>
      <c r="U5" s="58">
        <f t="shared" si="4"/>
        <v>0</v>
      </c>
      <c r="V5" s="58">
        <f t="shared" si="5"/>
        <v>0</v>
      </c>
      <c r="W5" s="57">
        <f t="shared" si="6"/>
        <v>17.936800000000002</v>
      </c>
      <c r="X5" s="58">
        <f t="shared" si="11"/>
        <v>0</v>
      </c>
      <c r="Y5" s="58">
        <f t="shared" si="7"/>
        <v>0</v>
      </c>
      <c r="Z5" s="58">
        <f t="shared" si="8"/>
        <v>0</v>
      </c>
      <c r="AA5" s="58">
        <f t="shared" si="9"/>
        <v>0</v>
      </c>
      <c r="AB5" s="59">
        <f t="shared" si="10"/>
        <v>0</v>
      </c>
    </row>
    <row r="6" spans="1:28" x14ac:dyDescent="0.25">
      <c r="A6" s="73" t="s">
        <v>74</v>
      </c>
      <c r="B6" s="193" t="s">
        <v>85</v>
      </c>
      <c r="C6" s="194">
        <v>3.17</v>
      </c>
      <c r="D6" s="194">
        <v>3.88</v>
      </c>
      <c r="E6" s="57">
        <v>24.15</v>
      </c>
      <c r="F6" s="58"/>
      <c r="G6" s="58"/>
      <c r="H6" s="58"/>
      <c r="I6" s="58"/>
      <c r="J6" s="59"/>
      <c r="K6" s="65">
        <f>(1*2.1)+(1.22*1.4)+(3.6*2.25)</f>
        <v>11.907999999999999</v>
      </c>
      <c r="L6" s="66"/>
      <c r="M6" s="66"/>
      <c r="N6" s="66"/>
      <c r="O6" s="66"/>
      <c r="P6" s="66"/>
      <c r="Q6" s="57">
        <f t="shared" si="0"/>
        <v>64.647499999999994</v>
      </c>
      <c r="R6" s="58">
        <f t="shared" si="1"/>
        <v>0</v>
      </c>
      <c r="S6" s="58">
        <f t="shared" si="2"/>
        <v>0</v>
      </c>
      <c r="T6" s="58">
        <f t="shared" si="3"/>
        <v>0</v>
      </c>
      <c r="U6" s="58">
        <f t="shared" si="4"/>
        <v>0</v>
      </c>
      <c r="V6" s="58">
        <f t="shared" si="5"/>
        <v>0</v>
      </c>
      <c r="W6" s="57">
        <f t="shared" si="6"/>
        <v>81.793999999999997</v>
      </c>
      <c r="X6" s="58">
        <f t="shared" si="11"/>
        <v>0</v>
      </c>
      <c r="Y6" s="58">
        <f t="shared" si="7"/>
        <v>0</v>
      </c>
      <c r="Z6" s="58">
        <f t="shared" si="8"/>
        <v>0</v>
      </c>
      <c r="AA6" s="58">
        <f t="shared" si="9"/>
        <v>0</v>
      </c>
      <c r="AB6" s="59">
        <f t="shared" si="10"/>
        <v>0</v>
      </c>
    </row>
    <row r="7" spans="1:28" x14ac:dyDescent="0.25">
      <c r="A7" s="73" t="s">
        <v>74</v>
      </c>
      <c r="B7" s="193" t="s">
        <v>86</v>
      </c>
      <c r="C7" s="194">
        <v>3.17</v>
      </c>
      <c r="D7" s="194">
        <v>3.88</v>
      </c>
      <c r="E7" s="57">
        <v>43.4</v>
      </c>
      <c r="F7" s="58"/>
      <c r="G7" s="58"/>
      <c r="H7" s="58"/>
      <c r="I7" s="58">
        <v>31.08</v>
      </c>
      <c r="J7" s="59"/>
      <c r="K7" s="65">
        <f>4*(0.9*2.1)+(1.6*2.1)+(11*2.25)</f>
        <v>35.67</v>
      </c>
      <c r="L7" s="66"/>
      <c r="M7" s="66"/>
      <c r="N7" s="66"/>
      <c r="O7" s="66">
        <f>2*(0.9*2.1)</f>
        <v>3.7800000000000002</v>
      </c>
      <c r="P7" s="66"/>
      <c r="Q7" s="57">
        <f t="shared" si="0"/>
        <v>101.908</v>
      </c>
      <c r="R7" s="58">
        <f t="shared" si="1"/>
        <v>0</v>
      </c>
      <c r="S7" s="58">
        <f t="shared" si="2"/>
        <v>0</v>
      </c>
      <c r="T7" s="58">
        <f t="shared" si="3"/>
        <v>0</v>
      </c>
      <c r="U7" s="58">
        <f t="shared" si="4"/>
        <v>94.743599999999986</v>
      </c>
      <c r="V7" s="58">
        <f t="shared" si="5"/>
        <v>0</v>
      </c>
      <c r="W7" s="57">
        <f t="shared" si="6"/>
        <v>132.72199999999998</v>
      </c>
      <c r="X7" s="58">
        <f t="shared" si="11"/>
        <v>0</v>
      </c>
      <c r="Y7" s="58">
        <f t="shared" si="7"/>
        <v>0</v>
      </c>
      <c r="Z7" s="58">
        <f t="shared" si="8"/>
        <v>0</v>
      </c>
      <c r="AA7" s="58">
        <f t="shared" si="9"/>
        <v>116.81039999999999</v>
      </c>
      <c r="AB7" s="59">
        <f t="shared" si="10"/>
        <v>0</v>
      </c>
    </row>
    <row r="8" spans="1:28" x14ac:dyDescent="0.25">
      <c r="A8" s="73" t="s">
        <v>74</v>
      </c>
      <c r="B8" s="193" t="s">
        <v>87</v>
      </c>
      <c r="C8" s="194">
        <v>3.17</v>
      </c>
      <c r="D8" s="194">
        <v>3.88</v>
      </c>
      <c r="E8" s="57"/>
      <c r="F8" s="58"/>
      <c r="G8" s="58"/>
      <c r="H8" s="58">
        <v>28.75</v>
      </c>
      <c r="I8" s="58"/>
      <c r="J8" s="59"/>
      <c r="K8" s="65"/>
      <c r="L8" s="66"/>
      <c r="M8" s="66"/>
      <c r="N8" s="66">
        <f>2*(0.8*2.1)+(3.7*1.8)</f>
        <v>10.02</v>
      </c>
      <c r="O8" s="66"/>
      <c r="P8" s="66"/>
      <c r="Q8" s="57">
        <f t="shared" si="0"/>
        <v>0</v>
      </c>
      <c r="R8" s="58">
        <f t="shared" si="1"/>
        <v>0</v>
      </c>
      <c r="S8" s="58">
        <f t="shared" si="2"/>
        <v>0</v>
      </c>
      <c r="T8" s="58">
        <f t="shared" si="3"/>
        <v>81.117500000000007</v>
      </c>
      <c r="U8" s="58">
        <f t="shared" si="4"/>
        <v>0</v>
      </c>
      <c r="V8" s="58">
        <f t="shared" si="5"/>
        <v>0</v>
      </c>
      <c r="W8" s="57">
        <f t="shared" si="6"/>
        <v>0</v>
      </c>
      <c r="X8" s="58">
        <f t="shared" si="11"/>
        <v>0</v>
      </c>
      <c r="Y8" s="58">
        <f t="shared" si="7"/>
        <v>0</v>
      </c>
      <c r="Z8" s="58">
        <f t="shared" si="8"/>
        <v>101.53</v>
      </c>
      <c r="AA8" s="58">
        <f t="shared" si="9"/>
        <v>0</v>
      </c>
      <c r="AB8" s="59">
        <f t="shared" si="10"/>
        <v>0</v>
      </c>
    </row>
    <row r="9" spans="1:28" x14ac:dyDescent="0.25">
      <c r="A9" s="73" t="s">
        <v>74</v>
      </c>
      <c r="B9" s="193" t="s">
        <v>88</v>
      </c>
      <c r="C9" s="194">
        <v>3.17</v>
      </c>
      <c r="D9" s="194">
        <v>3.88</v>
      </c>
      <c r="E9" s="57"/>
      <c r="F9" s="58"/>
      <c r="G9" s="58"/>
      <c r="H9" s="58">
        <v>7.67</v>
      </c>
      <c r="I9" s="58"/>
      <c r="J9" s="59"/>
      <c r="K9" s="65"/>
      <c r="L9" s="66"/>
      <c r="M9" s="66"/>
      <c r="N9" s="66">
        <f>(0.8*2.1)</f>
        <v>1.6800000000000002</v>
      </c>
      <c r="O9" s="66"/>
      <c r="P9" s="66"/>
      <c r="Q9" s="57">
        <f t="shared" si="0"/>
        <v>0</v>
      </c>
      <c r="R9" s="58">
        <f t="shared" si="1"/>
        <v>0</v>
      </c>
      <c r="S9" s="58">
        <f t="shared" si="2"/>
        <v>0</v>
      </c>
      <c r="T9" s="58">
        <f t="shared" si="3"/>
        <v>22.633900000000001</v>
      </c>
      <c r="U9" s="58">
        <f t="shared" si="4"/>
        <v>0</v>
      </c>
      <c r="V9" s="58">
        <f t="shared" si="5"/>
        <v>0</v>
      </c>
      <c r="W9" s="57">
        <f t="shared" si="6"/>
        <v>0</v>
      </c>
      <c r="X9" s="58">
        <f t="shared" si="11"/>
        <v>0</v>
      </c>
      <c r="Y9" s="58">
        <f t="shared" si="7"/>
        <v>0</v>
      </c>
      <c r="Z9" s="58">
        <f t="shared" si="8"/>
        <v>28.079599999999999</v>
      </c>
      <c r="AA9" s="58">
        <f t="shared" si="9"/>
        <v>0</v>
      </c>
      <c r="AB9" s="59">
        <f t="shared" si="10"/>
        <v>0</v>
      </c>
    </row>
    <row r="10" spans="1:28" x14ac:dyDescent="0.25">
      <c r="A10" s="73" t="s">
        <v>74</v>
      </c>
      <c r="B10" s="193" t="s">
        <v>89</v>
      </c>
      <c r="C10" s="194">
        <v>3.17</v>
      </c>
      <c r="D10" s="194">
        <v>3.88</v>
      </c>
      <c r="E10" s="57">
        <v>13.75</v>
      </c>
      <c r="F10" s="58"/>
      <c r="G10" s="58"/>
      <c r="H10" s="58"/>
      <c r="I10" s="58"/>
      <c r="J10" s="59"/>
      <c r="K10" s="65">
        <f>(3.16*1.8)+(0.9*2.1)</f>
        <v>7.5780000000000012</v>
      </c>
      <c r="L10" s="66"/>
      <c r="M10" s="66"/>
      <c r="N10" s="66"/>
      <c r="O10" s="66"/>
      <c r="P10" s="66"/>
      <c r="Q10" s="57">
        <f t="shared" si="0"/>
        <v>36.009499999999996</v>
      </c>
      <c r="R10" s="58">
        <f t="shared" si="1"/>
        <v>0</v>
      </c>
      <c r="S10" s="58">
        <f t="shared" si="2"/>
        <v>0</v>
      </c>
      <c r="T10" s="58">
        <f t="shared" si="3"/>
        <v>0</v>
      </c>
      <c r="U10" s="58">
        <f t="shared" si="4"/>
        <v>0</v>
      </c>
      <c r="V10" s="58">
        <f t="shared" si="5"/>
        <v>0</v>
      </c>
      <c r="W10" s="57">
        <f t="shared" si="6"/>
        <v>45.771999999999998</v>
      </c>
      <c r="X10" s="58">
        <f t="shared" si="11"/>
        <v>0</v>
      </c>
      <c r="Y10" s="58">
        <f t="shared" si="7"/>
        <v>0</v>
      </c>
      <c r="Z10" s="58">
        <f t="shared" si="8"/>
        <v>0</v>
      </c>
      <c r="AA10" s="58">
        <f t="shared" si="9"/>
        <v>0</v>
      </c>
      <c r="AB10" s="59">
        <f t="shared" si="10"/>
        <v>0</v>
      </c>
    </row>
    <row r="11" spans="1:28" x14ac:dyDescent="0.25">
      <c r="A11" s="73" t="s">
        <v>74</v>
      </c>
      <c r="B11" s="193" t="s">
        <v>90</v>
      </c>
      <c r="C11" s="194">
        <v>3.17</v>
      </c>
      <c r="D11" s="194">
        <v>3.88</v>
      </c>
      <c r="E11" s="57">
        <v>8.9499999999999993</v>
      </c>
      <c r="F11" s="58">
        <v>4.2</v>
      </c>
      <c r="G11" s="58"/>
      <c r="H11" s="58"/>
      <c r="I11" s="58"/>
      <c r="J11" s="59"/>
      <c r="K11" s="65">
        <f>(2.37*2.5)</f>
        <v>5.9250000000000007</v>
      </c>
      <c r="L11" s="66">
        <f>(0.9*2.1)</f>
        <v>1.8900000000000001</v>
      </c>
      <c r="M11" s="66"/>
      <c r="N11" s="66"/>
      <c r="O11" s="66"/>
      <c r="P11" s="66"/>
      <c r="Q11" s="57">
        <f t="shared" si="0"/>
        <v>22.446499999999997</v>
      </c>
      <c r="R11" s="58">
        <f t="shared" si="1"/>
        <v>11.423999999999999</v>
      </c>
      <c r="S11" s="58">
        <f t="shared" si="2"/>
        <v>0</v>
      </c>
      <c r="T11" s="58">
        <f t="shared" si="3"/>
        <v>0</v>
      </c>
      <c r="U11" s="58">
        <f t="shared" si="4"/>
        <v>0</v>
      </c>
      <c r="V11" s="58">
        <f t="shared" si="5"/>
        <v>0</v>
      </c>
      <c r="W11" s="57">
        <f t="shared" si="6"/>
        <v>28.800999999999998</v>
      </c>
      <c r="X11" s="58" t="s">
        <v>83</v>
      </c>
      <c r="Y11" s="58">
        <f t="shared" si="7"/>
        <v>0</v>
      </c>
      <c r="Z11" s="58">
        <f t="shared" si="8"/>
        <v>0</v>
      </c>
      <c r="AA11" s="58">
        <f t="shared" si="9"/>
        <v>0</v>
      </c>
      <c r="AB11" s="59">
        <f t="shared" si="10"/>
        <v>0</v>
      </c>
    </row>
    <row r="12" spans="1:28" x14ac:dyDescent="0.25">
      <c r="A12" s="73" t="s">
        <v>74</v>
      </c>
      <c r="B12" s="193" t="s">
        <v>91</v>
      </c>
      <c r="C12" s="194">
        <v>3.17</v>
      </c>
      <c r="D12" s="194">
        <v>3.88</v>
      </c>
      <c r="E12" s="57">
        <v>6.7</v>
      </c>
      <c r="F12" s="58">
        <v>10.3</v>
      </c>
      <c r="G12" s="58"/>
      <c r="H12" s="58"/>
      <c r="I12" s="58"/>
      <c r="J12" s="59"/>
      <c r="K12" s="65">
        <f>(0.9*2.1)+2.4*2.5</f>
        <v>7.8900000000000006</v>
      </c>
      <c r="L12" s="66">
        <f>(0.9*2.1)</f>
        <v>1.8900000000000001</v>
      </c>
      <c r="M12" s="66"/>
      <c r="N12" s="66"/>
      <c r="O12" s="66"/>
      <c r="P12" s="66"/>
      <c r="Q12" s="57">
        <f t="shared" si="0"/>
        <v>13.349</v>
      </c>
      <c r="R12" s="58">
        <f t="shared" si="1"/>
        <v>30.761000000000003</v>
      </c>
      <c r="S12" s="58">
        <f t="shared" si="2"/>
        <v>0</v>
      </c>
      <c r="T12" s="58">
        <f t="shared" si="3"/>
        <v>0</v>
      </c>
      <c r="U12" s="58">
        <f t="shared" si="4"/>
        <v>0</v>
      </c>
      <c r="V12" s="58">
        <f t="shared" si="5"/>
        <v>0</v>
      </c>
      <c r="W12" s="57">
        <f t="shared" si="6"/>
        <v>18.105999999999998</v>
      </c>
      <c r="X12" s="58" t="s">
        <v>83</v>
      </c>
      <c r="Y12" s="58">
        <f t="shared" si="7"/>
        <v>0</v>
      </c>
      <c r="Z12" s="58">
        <f t="shared" si="8"/>
        <v>0</v>
      </c>
      <c r="AA12" s="58">
        <f t="shared" si="9"/>
        <v>0</v>
      </c>
      <c r="AB12" s="59">
        <f t="shared" si="10"/>
        <v>0</v>
      </c>
    </row>
    <row r="13" spans="1:28" x14ac:dyDescent="0.25">
      <c r="A13" s="73" t="s">
        <v>74</v>
      </c>
      <c r="B13" s="193" t="s">
        <v>92</v>
      </c>
      <c r="C13" s="194">
        <v>3.17</v>
      </c>
      <c r="D13" s="194">
        <v>3.88</v>
      </c>
      <c r="E13" s="57">
        <v>10.85</v>
      </c>
      <c r="F13" s="58">
        <v>6.1</v>
      </c>
      <c r="G13" s="58"/>
      <c r="H13" s="58"/>
      <c r="I13" s="58"/>
      <c r="J13" s="59"/>
      <c r="K13" s="65">
        <f>(2.375*2.5)+(0.9*2.1)</f>
        <v>7.8275000000000006</v>
      </c>
      <c r="L13" s="66"/>
      <c r="M13" s="66"/>
      <c r="N13" s="66"/>
      <c r="O13" s="66"/>
      <c r="P13" s="66"/>
      <c r="Q13" s="57">
        <f t="shared" si="0"/>
        <v>26.567</v>
      </c>
      <c r="R13" s="58">
        <f t="shared" si="1"/>
        <v>19.337</v>
      </c>
      <c r="S13" s="58">
        <f t="shared" si="2"/>
        <v>0</v>
      </c>
      <c r="T13" s="58">
        <f t="shared" si="3"/>
        <v>0</v>
      </c>
      <c r="U13" s="58">
        <f t="shared" si="4"/>
        <v>0</v>
      </c>
      <c r="V13" s="58">
        <f t="shared" si="5"/>
        <v>0</v>
      </c>
      <c r="W13" s="57">
        <f t="shared" si="6"/>
        <v>34.270499999999998</v>
      </c>
      <c r="X13" s="58" t="s">
        <v>83</v>
      </c>
      <c r="Y13" s="58">
        <f t="shared" si="7"/>
        <v>0</v>
      </c>
      <c r="Z13" s="58">
        <f t="shared" si="8"/>
        <v>0</v>
      </c>
      <c r="AA13" s="58">
        <f t="shared" si="9"/>
        <v>0</v>
      </c>
      <c r="AB13" s="59">
        <f t="shared" si="10"/>
        <v>0</v>
      </c>
    </row>
    <row r="14" spans="1:28" x14ac:dyDescent="0.25">
      <c r="A14" s="73" t="s">
        <v>74</v>
      </c>
      <c r="B14" s="193" t="s">
        <v>93</v>
      </c>
      <c r="C14" s="194">
        <v>3.17</v>
      </c>
      <c r="D14" s="194">
        <v>3.88</v>
      </c>
      <c r="E14" s="57">
        <v>41.3</v>
      </c>
      <c r="F14" s="58"/>
      <c r="G14" s="58"/>
      <c r="H14" s="58"/>
      <c r="I14" s="58"/>
      <c r="J14" s="59"/>
      <c r="K14" s="65">
        <f>(1.6*2.1)+(11.65*2.5)</f>
        <v>32.484999999999999</v>
      </c>
      <c r="L14" s="66"/>
      <c r="M14" s="66"/>
      <c r="N14" s="66"/>
      <c r="O14" s="66"/>
      <c r="P14" s="66"/>
      <c r="Q14" s="57">
        <f t="shared" si="0"/>
        <v>98.435999999999993</v>
      </c>
      <c r="R14" s="58">
        <f t="shared" si="1"/>
        <v>0</v>
      </c>
      <c r="S14" s="58">
        <f t="shared" si="2"/>
        <v>0</v>
      </c>
      <c r="T14" s="58">
        <f t="shared" si="3"/>
        <v>0</v>
      </c>
      <c r="U14" s="58">
        <f t="shared" si="4"/>
        <v>0</v>
      </c>
      <c r="V14" s="58">
        <f t="shared" si="5"/>
        <v>0</v>
      </c>
      <c r="W14" s="57">
        <f t="shared" si="6"/>
        <v>127.75899999999997</v>
      </c>
      <c r="X14" s="58">
        <f t="shared" ref="X14:X24" si="12">(F14*$D14)-L14</f>
        <v>0</v>
      </c>
      <c r="Y14" s="58">
        <f t="shared" si="7"/>
        <v>0</v>
      </c>
      <c r="Z14" s="58">
        <f t="shared" si="8"/>
        <v>0</v>
      </c>
      <c r="AA14" s="58">
        <f t="shared" si="9"/>
        <v>0</v>
      </c>
      <c r="AB14" s="59">
        <f t="shared" si="10"/>
        <v>0</v>
      </c>
    </row>
    <row r="15" spans="1:28" x14ac:dyDescent="0.25">
      <c r="A15" s="73" t="s">
        <v>74</v>
      </c>
      <c r="B15" s="193" t="s">
        <v>94</v>
      </c>
      <c r="C15" s="194">
        <v>3.17</v>
      </c>
      <c r="D15" s="194">
        <v>3.88</v>
      </c>
      <c r="E15" s="57">
        <v>18.02</v>
      </c>
      <c r="F15" s="58"/>
      <c r="G15" s="58"/>
      <c r="H15" s="58"/>
      <c r="I15" s="58"/>
      <c r="J15" s="59"/>
      <c r="K15" s="65">
        <f>(2.975*2.5)+(0.9*2.1)</f>
        <v>9.3275000000000006</v>
      </c>
      <c r="L15" s="66"/>
      <c r="M15" s="66"/>
      <c r="N15" s="66"/>
      <c r="O15" s="66"/>
      <c r="P15" s="66"/>
      <c r="Q15" s="57">
        <f t="shared" si="0"/>
        <v>47.795899999999996</v>
      </c>
      <c r="R15" s="58">
        <f t="shared" si="1"/>
        <v>0</v>
      </c>
      <c r="S15" s="58">
        <f t="shared" si="2"/>
        <v>0</v>
      </c>
      <c r="T15" s="58">
        <f t="shared" si="3"/>
        <v>0</v>
      </c>
      <c r="U15" s="58">
        <f t="shared" si="4"/>
        <v>0</v>
      </c>
      <c r="V15" s="58">
        <f t="shared" si="5"/>
        <v>0</v>
      </c>
      <c r="W15" s="57">
        <f t="shared" si="6"/>
        <v>60.590099999999993</v>
      </c>
      <c r="X15" s="58">
        <f t="shared" si="12"/>
        <v>0</v>
      </c>
      <c r="Y15" s="58">
        <f t="shared" si="7"/>
        <v>0</v>
      </c>
      <c r="Z15" s="58">
        <f t="shared" si="8"/>
        <v>0</v>
      </c>
      <c r="AA15" s="58">
        <f t="shared" si="9"/>
        <v>0</v>
      </c>
      <c r="AB15" s="59">
        <f t="shared" si="10"/>
        <v>0</v>
      </c>
    </row>
    <row r="16" spans="1:28" x14ac:dyDescent="0.25">
      <c r="A16" s="73" t="s">
        <v>74</v>
      </c>
      <c r="B16" s="193" t="s">
        <v>95</v>
      </c>
      <c r="C16" s="194">
        <v>7.39</v>
      </c>
      <c r="D16" s="194">
        <v>7.9249999999999998</v>
      </c>
      <c r="E16" s="57">
        <v>14.39</v>
      </c>
      <c r="F16" s="58"/>
      <c r="G16" s="58"/>
      <c r="H16" s="58"/>
      <c r="I16" s="58"/>
      <c r="J16" s="59"/>
      <c r="K16" s="65">
        <f>(0.8*2.1)</f>
        <v>1.6800000000000002</v>
      </c>
      <c r="L16" s="66"/>
      <c r="M16" s="66"/>
      <c r="N16" s="66"/>
      <c r="O16" s="66"/>
      <c r="P16" s="66"/>
      <c r="Q16" s="57">
        <f t="shared" si="0"/>
        <v>104.6621</v>
      </c>
      <c r="R16" s="58">
        <f t="shared" si="1"/>
        <v>0</v>
      </c>
      <c r="S16" s="58">
        <f t="shared" si="2"/>
        <v>0</v>
      </c>
      <c r="T16" s="58">
        <f t="shared" si="3"/>
        <v>0</v>
      </c>
      <c r="U16" s="58">
        <f t="shared" si="4"/>
        <v>0</v>
      </c>
      <c r="V16" s="58">
        <f t="shared" si="5"/>
        <v>0</v>
      </c>
      <c r="W16" s="57">
        <f t="shared" si="6"/>
        <v>112.36075</v>
      </c>
      <c r="X16" s="58">
        <f t="shared" si="12"/>
        <v>0</v>
      </c>
      <c r="Y16" s="58">
        <f t="shared" si="7"/>
        <v>0</v>
      </c>
      <c r="Z16" s="58">
        <f t="shared" si="8"/>
        <v>0</v>
      </c>
      <c r="AA16" s="58">
        <f t="shared" si="9"/>
        <v>0</v>
      </c>
      <c r="AB16" s="59">
        <f t="shared" si="10"/>
        <v>0</v>
      </c>
    </row>
    <row r="17" spans="1:28" x14ac:dyDescent="0.25">
      <c r="A17" s="73" t="s">
        <v>74</v>
      </c>
      <c r="B17" s="193" t="s">
        <v>96</v>
      </c>
      <c r="C17" s="194">
        <v>3.17</v>
      </c>
      <c r="D17" s="194">
        <v>3.88</v>
      </c>
      <c r="E17" s="57">
        <v>83.41</v>
      </c>
      <c r="F17" s="58"/>
      <c r="G17" s="58"/>
      <c r="H17" s="58"/>
      <c r="I17" s="58"/>
      <c r="J17" s="59"/>
      <c r="K17" s="65">
        <f>4*(1.6*2.1)+3*(0.9*2.1)+(1*2.1)+(0.8*2.1)+2*(0.8*2.1)+1*(1.6*2.1)+2*(0.9*2.1)</f>
        <v>33.39</v>
      </c>
      <c r="L17" s="66"/>
      <c r="M17" s="66"/>
      <c r="N17" s="66"/>
      <c r="O17" s="66"/>
      <c r="P17" s="66"/>
      <c r="Q17" s="57">
        <f t="shared" si="0"/>
        <v>231.0197</v>
      </c>
      <c r="R17" s="58">
        <f t="shared" si="1"/>
        <v>0</v>
      </c>
      <c r="S17" s="58">
        <f t="shared" si="2"/>
        <v>0</v>
      </c>
      <c r="T17" s="58">
        <f t="shared" si="3"/>
        <v>0</v>
      </c>
      <c r="U17" s="58">
        <f t="shared" si="4"/>
        <v>0</v>
      </c>
      <c r="V17" s="58">
        <f t="shared" si="5"/>
        <v>0</v>
      </c>
      <c r="W17" s="57">
        <f t="shared" si="6"/>
        <v>290.24079999999998</v>
      </c>
      <c r="X17" s="58">
        <f t="shared" si="12"/>
        <v>0</v>
      </c>
      <c r="Y17" s="58">
        <f t="shared" si="7"/>
        <v>0</v>
      </c>
      <c r="Z17" s="58">
        <f t="shared" si="8"/>
        <v>0</v>
      </c>
      <c r="AA17" s="58">
        <f t="shared" si="9"/>
        <v>0</v>
      </c>
      <c r="AB17" s="59">
        <f t="shared" si="10"/>
        <v>0</v>
      </c>
    </row>
    <row r="18" spans="1:28" x14ac:dyDescent="0.25">
      <c r="A18" s="73" t="s">
        <v>74</v>
      </c>
      <c r="B18" s="193" t="s">
        <v>136</v>
      </c>
      <c r="C18" s="194">
        <v>3.17</v>
      </c>
      <c r="D18" s="194">
        <v>3.88</v>
      </c>
      <c r="E18" s="57"/>
      <c r="F18" s="58"/>
      <c r="G18" s="58">
        <v>39.15</v>
      </c>
      <c r="H18" s="58"/>
      <c r="I18" s="58"/>
      <c r="J18" s="59"/>
      <c r="K18" s="65"/>
      <c r="L18" s="66"/>
      <c r="M18" s="66">
        <f>(37.39*2.25)+(1.22*1.4)</f>
        <v>85.835499999999996</v>
      </c>
      <c r="N18" s="66"/>
      <c r="O18" s="66"/>
      <c r="P18" s="66"/>
      <c r="Q18" s="57">
        <f t="shared" si="0"/>
        <v>0</v>
      </c>
      <c r="R18" s="58">
        <f t="shared" si="1"/>
        <v>0</v>
      </c>
      <c r="S18" s="58">
        <f t="shared" si="2"/>
        <v>38.269999999999996</v>
      </c>
      <c r="T18" s="58">
        <f t="shared" si="3"/>
        <v>0</v>
      </c>
      <c r="U18" s="58">
        <f t="shared" si="4"/>
        <v>0</v>
      </c>
      <c r="V18" s="58">
        <f t="shared" si="5"/>
        <v>0</v>
      </c>
      <c r="W18" s="57">
        <f t="shared" si="6"/>
        <v>0</v>
      </c>
      <c r="X18" s="58">
        <f t="shared" si="12"/>
        <v>0</v>
      </c>
      <c r="Y18" s="58">
        <f t="shared" si="7"/>
        <v>66.066499999999991</v>
      </c>
      <c r="Z18" s="58">
        <f t="shared" si="8"/>
        <v>0</v>
      </c>
      <c r="AA18" s="58">
        <f t="shared" si="9"/>
        <v>0</v>
      </c>
      <c r="AB18" s="59">
        <f t="shared" si="10"/>
        <v>0</v>
      </c>
    </row>
    <row r="19" spans="1:28" x14ac:dyDescent="0.25">
      <c r="A19" s="73" t="s">
        <v>74</v>
      </c>
      <c r="B19" s="193" t="s">
        <v>137</v>
      </c>
      <c r="C19" s="194">
        <v>3.17</v>
      </c>
      <c r="D19" s="194">
        <v>3.88</v>
      </c>
      <c r="E19" s="57"/>
      <c r="F19" s="58"/>
      <c r="G19" s="58">
        <v>31.65</v>
      </c>
      <c r="H19" s="58"/>
      <c r="I19" s="58"/>
      <c r="J19" s="59"/>
      <c r="K19" s="65"/>
      <c r="L19" s="66"/>
      <c r="M19" s="66">
        <f>(22.5*2.5)+(3.16*1.8)+(1.8*1.8)+(1.9*1.9)+(0.8*2.1)</f>
        <v>70.468000000000004</v>
      </c>
      <c r="N19" s="66"/>
      <c r="O19" s="66"/>
      <c r="P19" s="66"/>
      <c r="Q19" s="57">
        <f t="shared" si="0"/>
        <v>0</v>
      </c>
      <c r="R19" s="58">
        <f t="shared" si="1"/>
        <v>0</v>
      </c>
      <c r="S19" s="58">
        <f t="shared" si="2"/>
        <v>29.862499999999983</v>
      </c>
      <c r="T19" s="58">
        <f t="shared" si="3"/>
        <v>0</v>
      </c>
      <c r="U19" s="58">
        <f t="shared" si="4"/>
        <v>0</v>
      </c>
      <c r="V19" s="58">
        <f t="shared" si="5"/>
        <v>0</v>
      </c>
      <c r="W19" s="57">
        <f t="shared" si="6"/>
        <v>0</v>
      </c>
      <c r="X19" s="58">
        <f t="shared" si="12"/>
        <v>0</v>
      </c>
      <c r="Y19" s="58">
        <f t="shared" si="7"/>
        <v>52.333999999999989</v>
      </c>
      <c r="Z19" s="58">
        <f t="shared" si="8"/>
        <v>0</v>
      </c>
      <c r="AA19" s="58">
        <f t="shared" si="9"/>
        <v>0</v>
      </c>
      <c r="AB19" s="59">
        <f t="shared" si="10"/>
        <v>0</v>
      </c>
    </row>
    <row r="20" spans="1:28" x14ac:dyDescent="0.25">
      <c r="A20" s="73" t="s">
        <v>74</v>
      </c>
      <c r="B20" s="193" t="s">
        <v>134</v>
      </c>
      <c r="C20" s="194">
        <v>3.17</v>
      </c>
      <c r="D20" s="194">
        <v>3.88</v>
      </c>
      <c r="E20" s="57"/>
      <c r="F20" s="58"/>
      <c r="G20" s="58">
        <v>19</v>
      </c>
      <c r="H20" s="58"/>
      <c r="I20" s="58"/>
      <c r="J20" s="59"/>
      <c r="K20" s="65"/>
      <c r="L20" s="66"/>
      <c r="M20" s="66">
        <f>(1.6*2.1)</f>
        <v>3.3600000000000003</v>
      </c>
      <c r="N20" s="66"/>
      <c r="O20" s="66"/>
      <c r="P20" s="66"/>
      <c r="Q20" s="57">
        <f t="shared" si="0"/>
        <v>0</v>
      </c>
      <c r="R20" s="58">
        <f t="shared" si="1"/>
        <v>0</v>
      </c>
      <c r="S20" s="58">
        <f t="shared" si="2"/>
        <v>56.87</v>
      </c>
      <c r="T20" s="58">
        <f t="shared" si="3"/>
        <v>0</v>
      </c>
      <c r="U20" s="58">
        <f t="shared" si="4"/>
        <v>0</v>
      </c>
      <c r="V20" s="58">
        <f t="shared" si="5"/>
        <v>0</v>
      </c>
      <c r="W20" s="57">
        <f t="shared" si="6"/>
        <v>0</v>
      </c>
      <c r="X20" s="58">
        <f t="shared" si="12"/>
        <v>0</v>
      </c>
      <c r="Y20" s="58">
        <f t="shared" si="7"/>
        <v>70.36</v>
      </c>
      <c r="Z20" s="58">
        <f t="shared" si="8"/>
        <v>0</v>
      </c>
      <c r="AA20" s="58">
        <f t="shared" si="9"/>
        <v>0</v>
      </c>
      <c r="AB20" s="59">
        <f t="shared" si="10"/>
        <v>0</v>
      </c>
    </row>
    <row r="21" spans="1:28" x14ac:dyDescent="0.25">
      <c r="A21" s="73" t="s">
        <v>74</v>
      </c>
      <c r="B21" s="193" t="s">
        <v>135</v>
      </c>
      <c r="C21" s="194">
        <v>3.17</v>
      </c>
      <c r="D21" s="194">
        <v>3.88</v>
      </c>
      <c r="E21" s="57"/>
      <c r="F21" s="58"/>
      <c r="G21" s="58">
        <v>19</v>
      </c>
      <c r="H21" s="58"/>
      <c r="I21" s="58"/>
      <c r="J21" s="59"/>
      <c r="K21" s="65"/>
      <c r="L21" s="66"/>
      <c r="M21" s="66">
        <f>(1.6*2.1)</f>
        <v>3.3600000000000003</v>
      </c>
      <c r="N21" s="66"/>
      <c r="O21" s="66"/>
      <c r="P21" s="66"/>
      <c r="Q21" s="57">
        <f t="shared" si="0"/>
        <v>0</v>
      </c>
      <c r="R21" s="58">
        <f t="shared" si="1"/>
        <v>0</v>
      </c>
      <c r="S21" s="58">
        <f t="shared" si="2"/>
        <v>56.87</v>
      </c>
      <c r="T21" s="58">
        <f t="shared" si="3"/>
        <v>0</v>
      </c>
      <c r="U21" s="58">
        <f t="shared" si="4"/>
        <v>0</v>
      </c>
      <c r="V21" s="58">
        <f t="shared" si="5"/>
        <v>0</v>
      </c>
      <c r="W21" s="57">
        <f t="shared" si="6"/>
        <v>0</v>
      </c>
      <c r="X21" s="58">
        <f t="shared" si="12"/>
        <v>0</v>
      </c>
      <c r="Y21" s="58">
        <f t="shared" si="7"/>
        <v>70.36</v>
      </c>
      <c r="Z21" s="58">
        <f t="shared" si="8"/>
        <v>0</v>
      </c>
      <c r="AA21" s="58">
        <f t="shared" si="9"/>
        <v>0</v>
      </c>
      <c r="AB21" s="59">
        <f t="shared" si="10"/>
        <v>0</v>
      </c>
    </row>
    <row r="22" spans="1:28" x14ac:dyDescent="0.25">
      <c r="A22" s="73" t="s">
        <v>74</v>
      </c>
      <c r="B22" s="193" t="s">
        <v>898</v>
      </c>
      <c r="C22" s="194">
        <v>2.65</v>
      </c>
      <c r="D22" s="194">
        <v>3.45</v>
      </c>
      <c r="E22" s="57">
        <v>20.28</v>
      </c>
      <c r="F22" s="58"/>
      <c r="G22" s="58"/>
      <c r="H22" s="58"/>
      <c r="I22" s="58"/>
      <c r="J22" s="59"/>
      <c r="K22" s="65">
        <f>2*0.97*2.1</f>
        <v>4.0739999999999998</v>
      </c>
      <c r="L22" s="66"/>
      <c r="M22" s="66"/>
      <c r="N22" s="66"/>
      <c r="O22" s="66"/>
      <c r="P22" s="66"/>
      <c r="Q22" s="57">
        <f t="shared" ref="Q22:Q39" si="13">(E22*$C22)-K22</f>
        <v>49.668000000000006</v>
      </c>
      <c r="R22" s="58">
        <f t="shared" ref="R22:R39" si="14">(F22*$C22)-L22</f>
        <v>0</v>
      </c>
      <c r="S22" s="58"/>
      <c r="T22" s="58">
        <f t="shared" ref="T22:T39" si="15">(H22*$C22)-N22</f>
        <v>0</v>
      </c>
      <c r="U22" s="58">
        <f t="shared" ref="U22:U39" si="16">(I22*$C22)-O22</f>
        <v>0</v>
      </c>
      <c r="V22" s="58">
        <f t="shared" ref="V22:V39" si="17">(J22*$C22)-P22</f>
        <v>0</v>
      </c>
      <c r="W22" s="57">
        <f t="shared" si="6"/>
        <v>65.89200000000001</v>
      </c>
      <c r="X22" s="58">
        <f t="shared" si="12"/>
        <v>0</v>
      </c>
      <c r="Y22" s="58"/>
      <c r="Z22" s="58">
        <f t="shared" ref="Z22:Z39" si="18">(H22*$D22)-N22</f>
        <v>0</v>
      </c>
      <c r="AA22" s="58">
        <f t="shared" ref="AA22:AA39" si="19">(I22*$D22)-O22</f>
        <v>0</v>
      </c>
      <c r="AB22" s="59">
        <f t="shared" ref="AB22:AB39" si="20">(J22*$D22)-P22</f>
        <v>0</v>
      </c>
    </row>
    <row r="23" spans="1:28" x14ac:dyDescent="0.25">
      <c r="A23" s="73">
        <v>1</v>
      </c>
      <c r="B23" s="193" t="s">
        <v>124</v>
      </c>
      <c r="C23" s="194">
        <v>2.97</v>
      </c>
      <c r="D23" s="194">
        <v>3.82</v>
      </c>
      <c r="E23" s="57">
        <v>31.62</v>
      </c>
      <c r="F23" s="58"/>
      <c r="G23" s="58"/>
      <c r="H23" s="58"/>
      <c r="I23" s="58"/>
      <c r="J23" s="59"/>
      <c r="K23" s="65">
        <f>(1.6*2.1)+(7.37*2.25)</f>
        <v>19.942499999999999</v>
      </c>
      <c r="L23" s="66"/>
      <c r="M23" s="66"/>
      <c r="N23" s="66"/>
      <c r="O23" s="66"/>
      <c r="P23" s="66"/>
      <c r="Q23" s="57">
        <f t="shared" si="13"/>
        <v>73.968900000000019</v>
      </c>
      <c r="R23" s="58">
        <f t="shared" si="14"/>
        <v>0</v>
      </c>
      <c r="S23" s="58">
        <f t="shared" ref="S23:S39" si="21">(G23*$C23)-M23</f>
        <v>0</v>
      </c>
      <c r="T23" s="58">
        <f t="shared" si="15"/>
        <v>0</v>
      </c>
      <c r="U23" s="58">
        <f t="shared" si="16"/>
        <v>0</v>
      </c>
      <c r="V23" s="58">
        <f t="shared" si="17"/>
        <v>0</v>
      </c>
      <c r="W23" s="57">
        <f t="shared" si="6"/>
        <v>100.8459</v>
      </c>
      <c r="X23" s="58">
        <f t="shared" si="12"/>
        <v>0</v>
      </c>
      <c r="Y23" s="58">
        <f t="shared" ref="Y23:Y39" si="22">(G23*$D23)-M23</f>
        <v>0</v>
      </c>
      <c r="Z23" s="58">
        <f t="shared" si="18"/>
        <v>0</v>
      </c>
      <c r="AA23" s="58">
        <f t="shared" si="19"/>
        <v>0</v>
      </c>
      <c r="AB23" s="59">
        <f t="shared" si="20"/>
        <v>0</v>
      </c>
    </row>
    <row r="24" spans="1:28" x14ac:dyDescent="0.25">
      <c r="A24" s="73">
        <v>1</v>
      </c>
      <c r="B24" s="193" t="s">
        <v>125</v>
      </c>
      <c r="C24" s="194">
        <v>2.97</v>
      </c>
      <c r="D24" s="194">
        <v>3.82</v>
      </c>
      <c r="E24" s="57">
        <v>50.4</v>
      </c>
      <c r="F24" s="58"/>
      <c r="G24" s="58"/>
      <c r="H24" s="58"/>
      <c r="I24" s="58"/>
      <c r="J24" s="59"/>
      <c r="K24" s="65">
        <f>(1.6*2.1)+2*(0.8*2.1)+(9.85*2.25)</f>
        <v>28.8825</v>
      </c>
      <c r="L24" s="66"/>
      <c r="M24" s="66"/>
      <c r="N24" s="66"/>
      <c r="O24" s="66"/>
      <c r="P24" s="66"/>
      <c r="Q24" s="57">
        <f t="shared" si="13"/>
        <v>120.80550000000002</v>
      </c>
      <c r="R24" s="58">
        <f t="shared" si="14"/>
        <v>0</v>
      </c>
      <c r="S24" s="58">
        <f t="shared" si="21"/>
        <v>0</v>
      </c>
      <c r="T24" s="58">
        <f t="shared" si="15"/>
        <v>0</v>
      </c>
      <c r="U24" s="58">
        <f t="shared" si="16"/>
        <v>0</v>
      </c>
      <c r="V24" s="58">
        <f t="shared" si="17"/>
        <v>0</v>
      </c>
      <c r="W24" s="57">
        <f t="shared" si="6"/>
        <v>163.6455</v>
      </c>
      <c r="X24" s="58">
        <f t="shared" si="12"/>
        <v>0</v>
      </c>
      <c r="Y24" s="58">
        <f t="shared" si="22"/>
        <v>0</v>
      </c>
      <c r="Z24" s="58">
        <f t="shared" si="18"/>
        <v>0</v>
      </c>
      <c r="AA24" s="58">
        <f t="shared" si="19"/>
        <v>0</v>
      </c>
      <c r="AB24" s="59">
        <f t="shared" si="20"/>
        <v>0</v>
      </c>
    </row>
    <row r="25" spans="1:28" x14ac:dyDescent="0.25">
      <c r="A25" s="73">
        <v>1</v>
      </c>
      <c r="B25" s="193" t="s">
        <v>126</v>
      </c>
      <c r="C25" s="194">
        <v>2.97</v>
      </c>
      <c r="D25" s="194">
        <v>3.82</v>
      </c>
      <c r="E25" s="57">
        <v>33.549999999999997</v>
      </c>
      <c r="F25" s="58">
        <v>2.9</v>
      </c>
      <c r="G25" s="58"/>
      <c r="H25" s="58"/>
      <c r="I25" s="58"/>
      <c r="J25" s="59"/>
      <c r="K25" s="65">
        <f>(1.6*2.1)+2*(0.8*2.1)+(4.85*2.25)</f>
        <v>17.6325</v>
      </c>
      <c r="L25" s="66"/>
      <c r="M25" s="66"/>
      <c r="N25" s="66"/>
      <c r="O25" s="66"/>
      <c r="P25" s="66"/>
      <c r="Q25" s="57">
        <f t="shared" si="13"/>
        <v>82.010999999999996</v>
      </c>
      <c r="R25" s="58">
        <f t="shared" si="14"/>
        <v>8.6129999999999995</v>
      </c>
      <c r="S25" s="58">
        <f t="shared" si="21"/>
        <v>0</v>
      </c>
      <c r="T25" s="58">
        <f t="shared" si="15"/>
        <v>0</v>
      </c>
      <c r="U25" s="58">
        <f t="shared" si="16"/>
        <v>0</v>
      </c>
      <c r="V25" s="58">
        <f t="shared" si="17"/>
        <v>0</v>
      </c>
      <c r="W25" s="57">
        <f t="shared" si="6"/>
        <v>110.52849999999998</v>
      </c>
      <c r="X25" s="58" t="s">
        <v>83</v>
      </c>
      <c r="Y25" s="58">
        <f t="shared" si="22"/>
        <v>0</v>
      </c>
      <c r="Z25" s="58">
        <f t="shared" si="18"/>
        <v>0</v>
      </c>
      <c r="AA25" s="58">
        <f t="shared" si="19"/>
        <v>0</v>
      </c>
      <c r="AB25" s="59">
        <f t="shared" si="20"/>
        <v>0</v>
      </c>
    </row>
    <row r="26" spans="1:28" x14ac:dyDescent="0.25">
      <c r="A26" s="73">
        <v>1</v>
      </c>
      <c r="B26" s="193" t="s">
        <v>127</v>
      </c>
      <c r="C26" s="194">
        <v>2.97</v>
      </c>
      <c r="D26" s="194">
        <v>3.82</v>
      </c>
      <c r="E26" s="57">
        <v>26.65</v>
      </c>
      <c r="F26" s="58"/>
      <c r="G26" s="58"/>
      <c r="H26" s="58"/>
      <c r="I26" s="58"/>
      <c r="J26" s="59"/>
      <c r="K26" s="65">
        <f>(1.6*2.1)+(4.85*2.25)</f>
        <v>14.272500000000001</v>
      </c>
      <c r="L26" s="66"/>
      <c r="M26" s="66"/>
      <c r="N26" s="66"/>
      <c r="O26" s="66"/>
      <c r="P26" s="66"/>
      <c r="Q26" s="57">
        <f t="shared" si="13"/>
        <v>64.878000000000014</v>
      </c>
      <c r="R26" s="58">
        <f t="shared" si="14"/>
        <v>0</v>
      </c>
      <c r="S26" s="58">
        <f t="shared" si="21"/>
        <v>0</v>
      </c>
      <c r="T26" s="58">
        <f t="shared" si="15"/>
        <v>0</v>
      </c>
      <c r="U26" s="58">
        <f t="shared" si="16"/>
        <v>0</v>
      </c>
      <c r="V26" s="58">
        <f t="shared" si="17"/>
        <v>0</v>
      </c>
      <c r="W26" s="57">
        <f t="shared" si="6"/>
        <v>87.530499999999989</v>
      </c>
      <c r="X26" s="58">
        <f>(F26*$D26)-L26</f>
        <v>0</v>
      </c>
      <c r="Y26" s="58">
        <f t="shared" si="22"/>
        <v>0</v>
      </c>
      <c r="Z26" s="58">
        <f t="shared" si="18"/>
        <v>0</v>
      </c>
      <c r="AA26" s="58">
        <f t="shared" si="19"/>
        <v>0</v>
      </c>
      <c r="AB26" s="59">
        <f t="shared" si="20"/>
        <v>0</v>
      </c>
    </row>
    <row r="27" spans="1:28" x14ac:dyDescent="0.25">
      <c r="A27" s="73">
        <v>1</v>
      </c>
      <c r="B27" s="193" t="s">
        <v>128</v>
      </c>
      <c r="C27" s="194">
        <v>2.97</v>
      </c>
      <c r="D27" s="194">
        <v>3.82</v>
      </c>
      <c r="E27" s="57">
        <v>20.7</v>
      </c>
      <c r="F27" s="58">
        <v>6.1</v>
      </c>
      <c r="G27" s="58"/>
      <c r="H27" s="58"/>
      <c r="I27" s="58"/>
      <c r="J27" s="59"/>
      <c r="K27" s="65">
        <f>(1.6*2.1)+(0.8*2.1)+(3.6*2.25)</f>
        <v>13.14</v>
      </c>
      <c r="L27" s="66"/>
      <c r="M27" s="66"/>
      <c r="N27" s="66"/>
      <c r="O27" s="66"/>
      <c r="P27" s="66"/>
      <c r="Q27" s="57">
        <f t="shared" si="13"/>
        <v>48.338999999999999</v>
      </c>
      <c r="R27" s="58">
        <f t="shared" si="14"/>
        <v>18.117000000000001</v>
      </c>
      <c r="S27" s="58">
        <f t="shared" si="21"/>
        <v>0</v>
      </c>
      <c r="T27" s="58">
        <f t="shared" si="15"/>
        <v>0</v>
      </c>
      <c r="U27" s="58">
        <f t="shared" si="16"/>
        <v>0</v>
      </c>
      <c r="V27" s="58">
        <f t="shared" si="17"/>
        <v>0</v>
      </c>
      <c r="W27" s="57">
        <f t="shared" si="6"/>
        <v>65.933999999999997</v>
      </c>
      <c r="X27" s="58" t="s">
        <v>83</v>
      </c>
      <c r="Y27" s="58">
        <f t="shared" si="22"/>
        <v>0</v>
      </c>
      <c r="Z27" s="58">
        <f t="shared" si="18"/>
        <v>0</v>
      </c>
      <c r="AA27" s="58">
        <f t="shared" si="19"/>
        <v>0</v>
      </c>
      <c r="AB27" s="59">
        <f t="shared" si="20"/>
        <v>0</v>
      </c>
    </row>
    <row r="28" spans="1:28" x14ac:dyDescent="0.25">
      <c r="A28" s="73">
        <v>1</v>
      </c>
      <c r="B28" s="193" t="s">
        <v>129</v>
      </c>
      <c r="C28" s="194">
        <v>2.97</v>
      </c>
      <c r="D28" s="194">
        <v>3.82</v>
      </c>
      <c r="E28" s="57">
        <v>21</v>
      </c>
      <c r="F28" s="58">
        <v>6.1</v>
      </c>
      <c r="G28" s="58"/>
      <c r="H28" s="58"/>
      <c r="I28" s="58"/>
      <c r="J28" s="59"/>
      <c r="K28" s="65">
        <f>(1.6*2.1)+(0.8*2.1)+(3.625*2.25)</f>
        <v>13.196250000000001</v>
      </c>
      <c r="L28" s="66"/>
      <c r="M28" s="66"/>
      <c r="N28" s="66"/>
      <c r="O28" s="66"/>
      <c r="P28" s="66"/>
      <c r="Q28" s="57">
        <f t="shared" si="13"/>
        <v>49.173750000000005</v>
      </c>
      <c r="R28" s="58">
        <f t="shared" si="14"/>
        <v>18.117000000000001</v>
      </c>
      <c r="S28" s="58">
        <f t="shared" si="21"/>
        <v>0</v>
      </c>
      <c r="T28" s="58">
        <f t="shared" si="15"/>
        <v>0</v>
      </c>
      <c r="U28" s="58">
        <f t="shared" si="16"/>
        <v>0</v>
      </c>
      <c r="V28" s="58">
        <f t="shared" si="17"/>
        <v>0</v>
      </c>
      <c r="W28" s="57">
        <f t="shared" si="6"/>
        <v>67.023749999999993</v>
      </c>
      <c r="X28" s="58" t="s">
        <v>83</v>
      </c>
      <c r="Y28" s="58">
        <f t="shared" si="22"/>
        <v>0</v>
      </c>
      <c r="Z28" s="58">
        <f t="shared" si="18"/>
        <v>0</v>
      </c>
      <c r="AA28" s="58">
        <f t="shared" si="19"/>
        <v>0</v>
      </c>
      <c r="AB28" s="59">
        <f t="shared" si="20"/>
        <v>0</v>
      </c>
    </row>
    <row r="29" spans="1:28" x14ac:dyDescent="0.25">
      <c r="A29" s="73">
        <v>1</v>
      </c>
      <c r="B29" s="193" t="s">
        <v>130</v>
      </c>
      <c r="C29" s="194">
        <v>2.97</v>
      </c>
      <c r="D29" s="194">
        <v>3.82</v>
      </c>
      <c r="E29" s="57">
        <v>9.4</v>
      </c>
      <c r="F29" s="58"/>
      <c r="G29" s="58"/>
      <c r="H29" s="58"/>
      <c r="I29" s="58"/>
      <c r="J29" s="59"/>
      <c r="K29" s="65">
        <f>2*(0.8*2.1)+(2.35*2.25)</f>
        <v>8.6475000000000009</v>
      </c>
      <c r="L29" s="66"/>
      <c r="M29" s="66"/>
      <c r="N29" s="66"/>
      <c r="O29" s="66"/>
      <c r="P29" s="66"/>
      <c r="Q29" s="57">
        <f t="shared" si="13"/>
        <v>19.270500000000002</v>
      </c>
      <c r="R29" s="58">
        <f t="shared" si="14"/>
        <v>0</v>
      </c>
      <c r="S29" s="58">
        <f t="shared" si="21"/>
        <v>0</v>
      </c>
      <c r="T29" s="58">
        <f t="shared" si="15"/>
        <v>0</v>
      </c>
      <c r="U29" s="58">
        <f t="shared" si="16"/>
        <v>0</v>
      </c>
      <c r="V29" s="58">
        <f t="shared" si="17"/>
        <v>0</v>
      </c>
      <c r="W29" s="57">
        <f t="shared" si="6"/>
        <v>27.2605</v>
      </c>
      <c r="X29" s="58">
        <f>(F29*$D29)-L29</f>
        <v>0</v>
      </c>
      <c r="Y29" s="58">
        <f t="shared" si="22"/>
        <v>0</v>
      </c>
      <c r="Z29" s="58">
        <f t="shared" si="18"/>
        <v>0</v>
      </c>
      <c r="AA29" s="58">
        <f t="shared" si="19"/>
        <v>0</v>
      </c>
      <c r="AB29" s="59">
        <f t="shared" si="20"/>
        <v>0</v>
      </c>
    </row>
    <row r="30" spans="1:28" x14ac:dyDescent="0.25">
      <c r="A30" s="73">
        <v>1</v>
      </c>
      <c r="B30" s="193" t="s">
        <v>87</v>
      </c>
      <c r="C30" s="194">
        <v>2.97</v>
      </c>
      <c r="D30" s="194">
        <v>3.82</v>
      </c>
      <c r="E30" s="57"/>
      <c r="F30" s="58"/>
      <c r="G30" s="58"/>
      <c r="H30" s="58">
        <v>29</v>
      </c>
      <c r="I30" s="58"/>
      <c r="J30" s="59"/>
      <c r="K30" s="65"/>
      <c r="L30" s="66"/>
      <c r="M30" s="66"/>
      <c r="N30" s="66">
        <f>2*(0.8*2.1)+((1.9+1.8)*2.4)</f>
        <v>12.240000000000002</v>
      </c>
      <c r="O30" s="66"/>
      <c r="P30" s="66"/>
      <c r="Q30" s="57">
        <f t="shared" si="13"/>
        <v>0</v>
      </c>
      <c r="R30" s="58">
        <f t="shared" si="14"/>
        <v>0</v>
      </c>
      <c r="S30" s="58">
        <f t="shared" si="21"/>
        <v>0</v>
      </c>
      <c r="T30" s="58">
        <f t="shared" si="15"/>
        <v>73.890000000000015</v>
      </c>
      <c r="U30" s="58">
        <f t="shared" si="16"/>
        <v>0</v>
      </c>
      <c r="V30" s="58">
        <f t="shared" si="17"/>
        <v>0</v>
      </c>
      <c r="W30" s="57">
        <f t="shared" si="6"/>
        <v>0</v>
      </c>
      <c r="X30" s="58">
        <f>(F30*$D30)-L30</f>
        <v>0</v>
      </c>
      <c r="Y30" s="58">
        <f t="shared" si="22"/>
        <v>0</v>
      </c>
      <c r="Z30" s="58">
        <f t="shared" si="18"/>
        <v>98.539999999999992</v>
      </c>
      <c r="AA30" s="58">
        <f t="shared" si="19"/>
        <v>0</v>
      </c>
      <c r="AB30" s="59">
        <f t="shared" si="20"/>
        <v>0</v>
      </c>
    </row>
    <row r="31" spans="1:28" x14ac:dyDescent="0.25">
      <c r="A31" s="73">
        <v>1</v>
      </c>
      <c r="B31" s="193" t="s">
        <v>88</v>
      </c>
      <c r="C31" s="194">
        <v>2.97</v>
      </c>
      <c r="D31" s="194">
        <v>3.82</v>
      </c>
      <c r="E31" s="57"/>
      <c r="F31" s="58"/>
      <c r="G31" s="58"/>
      <c r="H31" s="58">
        <v>8.1999999999999993</v>
      </c>
      <c r="I31" s="58"/>
      <c r="J31" s="59"/>
      <c r="K31" s="65"/>
      <c r="L31" s="66"/>
      <c r="M31" s="66"/>
      <c r="N31" s="66">
        <f>(0.8*2.1)</f>
        <v>1.6800000000000002</v>
      </c>
      <c r="O31" s="66"/>
      <c r="P31" s="66"/>
      <c r="Q31" s="57">
        <f t="shared" si="13"/>
        <v>0</v>
      </c>
      <c r="R31" s="58">
        <f t="shared" si="14"/>
        <v>0</v>
      </c>
      <c r="S31" s="58">
        <f t="shared" si="21"/>
        <v>0</v>
      </c>
      <c r="T31" s="58">
        <f t="shared" si="15"/>
        <v>22.673999999999999</v>
      </c>
      <c r="U31" s="58">
        <f t="shared" si="16"/>
        <v>0</v>
      </c>
      <c r="V31" s="58">
        <f t="shared" si="17"/>
        <v>0</v>
      </c>
      <c r="W31" s="57">
        <f t="shared" si="6"/>
        <v>0</v>
      </c>
      <c r="X31" s="58">
        <f>(F31*$D31)-L31</f>
        <v>0</v>
      </c>
      <c r="Y31" s="58">
        <f t="shared" si="22"/>
        <v>0</v>
      </c>
      <c r="Z31" s="58">
        <f t="shared" si="18"/>
        <v>29.643999999999995</v>
      </c>
      <c r="AA31" s="58">
        <f t="shared" si="19"/>
        <v>0</v>
      </c>
      <c r="AB31" s="59">
        <f t="shared" si="20"/>
        <v>0</v>
      </c>
    </row>
    <row r="32" spans="1:28" x14ac:dyDescent="0.25">
      <c r="A32" s="73">
        <v>1</v>
      </c>
      <c r="B32" s="193" t="s">
        <v>131</v>
      </c>
      <c r="C32" s="194">
        <v>2.97</v>
      </c>
      <c r="D32" s="194">
        <v>3.82</v>
      </c>
      <c r="E32" s="57">
        <v>9.0500000000000007</v>
      </c>
      <c r="F32" s="58">
        <v>4.2</v>
      </c>
      <c r="G32" s="58"/>
      <c r="H32" s="58"/>
      <c r="I32" s="58"/>
      <c r="J32" s="59"/>
      <c r="K32" s="65">
        <f>(2.43*2.4)</f>
        <v>5.8319999999999999</v>
      </c>
      <c r="L32" s="66">
        <f>(0.9*2.1)</f>
        <v>1.8900000000000001</v>
      </c>
      <c r="M32" s="66"/>
      <c r="N32" s="66"/>
      <c r="O32" s="66"/>
      <c r="P32" s="66"/>
      <c r="Q32" s="57">
        <f t="shared" si="13"/>
        <v>21.046500000000002</v>
      </c>
      <c r="R32" s="58">
        <f t="shared" si="14"/>
        <v>10.584000000000001</v>
      </c>
      <c r="S32" s="58">
        <f t="shared" si="21"/>
        <v>0</v>
      </c>
      <c r="T32" s="58">
        <f t="shared" si="15"/>
        <v>0</v>
      </c>
      <c r="U32" s="58">
        <f t="shared" si="16"/>
        <v>0</v>
      </c>
      <c r="V32" s="58">
        <f t="shared" si="17"/>
        <v>0</v>
      </c>
      <c r="W32" s="57">
        <f t="shared" si="6"/>
        <v>28.738999999999997</v>
      </c>
      <c r="X32" s="58" t="s">
        <v>83</v>
      </c>
      <c r="Y32" s="58">
        <f t="shared" si="22"/>
        <v>0</v>
      </c>
      <c r="Z32" s="58">
        <f t="shared" si="18"/>
        <v>0</v>
      </c>
      <c r="AA32" s="58">
        <f t="shared" si="19"/>
        <v>0</v>
      </c>
      <c r="AB32" s="59">
        <f t="shared" si="20"/>
        <v>0</v>
      </c>
    </row>
    <row r="33" spans="1:28" x14ac:dyDescent="0.25">
      <c r="A33" s="73">
        <v>1</v>
      </c>
      <c r="B33" s="193" t="s">
        <v>132</v>
      </c>
      <c r="C33" s="194">
        <v>2.97</v>
      </c>
      <c r="D33" s="194">
        <v>3.82</v>
      </c>
      <c r="E33" s="57">
        <v>29.4</v>
      </c>
      <c r="F33" s="58">
        <f>12*6.1</f>
        <v>73.199999999999989</v>
      </c>
      <c r="G33" s="58"/>
      <c r="H33" s="58"/>
      <c r="I33" s="58"/>
      <c r="J33" s="59"/>
      <c r="K33" s="65">
        <f>6*(0.9*2.1)+(15*2.4)</f>
        <v>47.34</v>
      </c>
      <c r="L33" s="66"/>
      <c r="M33" s="66"/>
      <c r="N33" s="66"/>
      <c r="O33" s="66"/>
      <c r="P33" s="66"/>
      <c r="Q33" s="57">
        <f t="shared" si="13"/>
        <v>39.977999999999994</v>
      </c>
      <c r="R33" s="58">
        <f t="shared" si="14"/>
        <v>217.40399999999997</v>
      </c>
      <c r="S33" s="58">
        <f t="shared" si="21"/>
        <v>0</v>
      </c>
      <c r="T33" s="58">
        <f t="shared" si="15"/>
        <v>0</v>
      </c>
      <c r="U33" s="58">
        <f t="shared" si="16"/>
        <v>0</v>
      </c>
      <c r="V33" s="58">
        <f t="shared" si="17"/>
        <v>0</v>
      </c>
      <c r="W33" s="57">
        <f t="shared" si="6"/>
        <v>64.967999999999989</v>
      </c>
      <c r="X33" s="58" t="s">
        <v>83</v>
      </c>
      <c r="Y33" s="58">
        <f t="shared" si="22"/>
        <v>0</v>
      </c>
      <c r="Z33" s="58">
        <f t="shared" si="18"/>
        <v>0</v>
      </c>
      <c r="AA33" s="58">
        <f t="shared" si="19"/>
        <v>0</v>
      </c>
      <c r="AB33" s="59">
        <f t="shared" si="20"/>
        <v>0</v>
      </c>
    </row>
    <row r="34" spans="1:28" x14ac:dyDescent="0.25">
      <c r="A34" s="73">
        <v>1</v>
      </c>
      <c r="B34" s="193" t="s">
        <v>133</v>
      </c>
      <c r="C34" s="194">
        <v>2.97</v>
      </c>
      <c r="D34" s="194">
        <v>3.82</v>
      </c>
      <c r="E34" s="57">
        <v>15.8</v>
      </c>
      <c r="F34" s="58">
        <v>6.1</v>
      </c>
      <c r="G34" s="58"/>
      <c r="H34" s="58"/>
      <c r="I34" s="58"/>
      <c r="J34" s="59"/>
      <c r="K34" s="65">
        <f>(0.9*2.1)+(4.8*2.4)</f>
        <v>13.41</v>
      </c>
      <c r="L34" s="66"/>
      <c r="M34" s="66"/>
      <c r="N34" s="66"/>
      <c r="O34" s="66"/>
      <c r="P34" s="66"/>
      <c r="Q34" s="57">
        <f t="shared" si="13"/>
        <v>33.516000000000005</v>
      </c>
      <c r="R34" s="58">
        <f t="shared" si="14"/>
        <v>18.117000000000001</v>
      </c>
      <c r="S34" s="58">
        <f t="shared" si="21"/>
        <v>0</v>
      </c>
      <c r="T34" s="58">
        <f t="shared" si="15"/>
        <v>0</v>
      </c>
      <c r="U34" s="58">
        <f t="shared" si="16"/>
        <v>0</v>
      </c>
      <c r="V34" s="58">
        <f t="shared" si="17"/>
        <v>0</v>
      </c>
      <c r="W34" s="57">
        <f t="shared" si="6"/>
        <v>46.945999999999998</v>
      </c>
      <c r="X34" s="58" t="s">
        <v>83</v>
      </c>
      <c r="Y34" s="58">
        <f t="shared" si="22"/>
        <v>0</v>
      </c>
      <c r="Z34" s="58">
        <f t="shared" si="18"/>
        <v>0</v>
      </c>
      <c r="AA34" s="58">
        <f t="shared" si="19"/>
        <v>0</v>
      </c>
      <c r="AB34" s="59">
        <f t="shared" si="20"/>
        <v>0</v>
      </c>
    </row>
    <row r="35" spans="1:28" x14ac:dyDescent="0.25">
      <c r="A35" s="73">
        <v>1</v>
      </c>
      <c r="B35" s="193" t="s">
        <v>96</v>
      </c>
      <c r="C35" s="194">
        <v>3.45</v>
      </c>
      <c r="D35" s="194">
        <v>3.82</v>
      </c>
      <c r="E35" s="57">
        <v>95.85</v>
      </c>
      <c r="F35" s="58"/>
      <c r="G35" s="58"/>
      <c r="H35" s="58"/>
      <c r="I35" s="58"/>
      <c r="J35" s="59"/>
      <c r="K35" s="65">
        <f>6*(1.6*2.1)+2*(1.8*3.2)+2*(0.8*2.1)+(0.8*2.1)+7*(0.9*2.1)</f>
        <v>49.95</v>
      </c>
      <c r="L35" s="66"/>
      <c r="M35" s="66"/>
      <c r="N35" s="66"/>
      <c r="O35" s="66"/>
      <c r="P35" s="66"/>
      <c r="Q35" s="57">
        <f t="shared" si="13"/>
        <v>280.73250000000002</v>
      </c>
      <c r="R35" s="58">
        <f t="shared" si="14"/>
        <v>0</v>
      </c>
      <c r="S35" s="58">
        <f t="shared" si="21"/>
        <v>0</v>
      </c>
      <c r="T35" s="58">
        <f t="shared" si="15"/>
        <v>0</v>
      </c>
      <c r="U35" s="58">
        <f t="shared" si="16"/>
        <v>0</v>
      </c>
      <c r="V35" s="58">
        <f t="shared" si="17"/>
        <v>0</v>
      </c>
      <c r="W35" s="57">
        <f t="shared" si="6"/>
        <v>316.197</v>
      </c>
      <c r="X35" s="58">
        <f>(F35*$D35)-L35</f>
        <v>0</v>
      </c>
      <c r="Y35" s="58">
        <f t="shared" si="22"/>
        <v>0</v>
      </c>
      <c r="Z35" s="58">
        <f t="shared" si="18"/>
        <v>0</v>
      </c>
      <c r="AA35" s="58">
        <f t="shared" si="19"/>
        <v>0</v>
      </c>
      <c r="AB35" s="59">
        <f t="shared" si="20"/>
        <v>0</v>
      </c>
    </row>
    <row r="36" spans="1:28" x14ac:dyDescent="0.25">
      <c r="A36" s="73">
        <v>1</v>
      </c>
      <c r="B36" s="193" t="s">
        <v>136</v>
      </c>
      <c r="C36" s="194">
        <v>2.97</v>
      </c>
      <c r="D36" s="194">
        <v>3.82</v>
      </c>
      <c r="E36" s="57"/>
      <c r="F36" s="58"/>
      <c r="G36" s="58">
        <v>39.15</v>
      </c>
      <c r="H36" s="58"/>
      <c r="I36" s="58"/>
      <c r="J36" s="59"/>
      <c r="K36" s="65"/>
      <c r="L36" s="66"/>
      <c r="M36" s="66">
        <f>(37.39*2.25)</f>
        <v>84.127499999999998</v>
      </c>
      <c r="N36" s="66"/>
      <c r="O36" s="66"/>
      <c r="P36" s="66"/>
      <c r="Q36" s="57">
        <f t="shared" si="13"/>
        <v>0</v>
      </c>
      <c r="R36" s="58">
        <f t="shared" si="14"/>
        <v>0</v>
      </c>
      <c r="S36" s="58">
        <f t="shared" si="21"/>
        <v>32.14800000000001</v>
      </c>
      <c r="T36" s="58">
        <f t="shared" si="15"/>
        <v>0</v>
      </c>
      <c r="U36" s="58">
        <f t="shared" si="16"/>
        <v>0</v>
      </c>
      <c r="V36" s="58">
        <f t="shared" si="17"/>
        <v>0</v>
      </c>
      <c r="W36" s="57">
        <f t="shared" si="6"/>
        <v>0</v>
      </c>
      <c r="X36" s="58">
        <f>(F36*$D36)-L36</f>
        <v>0</v>
      </c>
      <c r="Y36" s="58">
        <f t="shared" si="22"/>
        <v>65.4255</v>
      </c>
      <c r="Z36" s="58">
        <f t="shared" si="18"/>
        <v>0</v>
      </c>
      <c r="AA36" s="58">
        <f t="shared" si="19"/>
        <v>0</v>
      </c>
      <c r="AB36" s="59">
        <f t="shared" si="20"/>
        <v>0</v>
      </c>
    </row>
    <row r="37" spans="1:28" x14ac:dyDescent="0.25">
      <c r="A37" s="73">
        <v>1</v>
      </c>
      <c r="B37" s="193" t="s">
        <v>137</v>
      </c>
      <c r="C37" s="194">
        <v>2.97</v>
      </c>
      <c r="D37" s="194">
        <v>3.82</v>
      </c>
      <c r="E37" s="57"/>
      <c r="F37" s="58"/>
      <c r="G37" s="58">
        <v>31.65</v>
      </c>
      <c r="H37" s="58"/>
      <c r="I37" s="58"/>
      <c r="J37" s="59"/>
      <c r="K37" s="65"/>
      <c r="L37" s="66"/>
      <c r="M37" s="66">
        <f>(22.27*2.4)+(3.16*2.4)+(1.8*2.4)+(1.9*2.4)</f>
        <v>69.912000000000006</v>
      </c>
      <c r="N37" s="66"/>
      <c r="O37" s="66"/>
      <c r="P37" s="66"/>
      <c r="Q37" s="57">
        <f t="shared" si="13"/>
        <v>0</v>
      </c>
      <c r="R37" s="58">
        <f t="shared" si="14"/>
        <v>0</v>
      </c>
      <c r="S37" s="58">
        <f t="shared" si="21"/>
        <v>24.088499999999996</v>
      </c>
      <c r="T37" s="58">
        <f t="shared" si="15"/>
        <v>0</v>
      </c>
      <c r="U37" s="58">
        <f t="shared" si="16"/>
        <v>0</v>
      </c>
      <c r="V37" s="58">
        <f t="shared" si="17"/>
        <v>0</v>
      </c>
      <c r="W37" s="57">
        <f t="shared" si="6"/>
        <v>0</v>
      </c>
      <c r="X37" s="58">
        <f>(F37*$D37)-L37</f>
        <v>0</v>
      </c>
      <c r="Y37" s="58">
        <f t="shared" si="22"/>
        <v>50.990999999999985</v>
      </c>
      <c r="Z37" s="58">
        <f t="shared" si="18"/>
        <v>0</v>
      </c>
      <c r="AA37" s="58">
        <f t="shared" si="19"/>
        <v>0</v>
      </c>
      <c r="AB37" s="59">
        <f t="shared" si="20"/>
        <v>0</v>
      </c>
    </row>
    <row r="38" spans="1:28" x14ac:dyDescent="0.25">
      <c r="A38" s="73">
        <v>1</v>
      </c>
      <c r="B38" s="193" t="s">
        <v>134</v>
      </c>
      <c r="C38" s="194">
        <v>2.97</v>
      </c>
      <c r="D38" s="194">
        <v>3.82</v>
      </c>
      <c r="E38" s="57"/>
      <c r="F38" s="58"/>
      <c r="G38" s="58">
        <v>19</v>
      </c>
      <c r="H38" s="58"/>
      <c r="I38" s="58"/>
      <c r="J38" s="59"/>
      <c r="K38" s="65"/>
      <c r="L38" s="66"/>
      <c r="M38" s="66">
        <f>(1.8*3.2)</f>
        <v>5.7600000000000007</v>
      </c>
      <c r="N38" s="66"/>
      <c r="O38" s="66"/>
      <c r="P38" s="66"/>
      <c r="Q38" s="57">
        <f t="shared" si="13"/>
        <v>0</v>
      </c>
      <c r="R38" s="58">
        <f t="shared" si="14"/>
        <v>0</v>
      </c>
      <c r="S38" s="58">
        <f t="shared" si="21"/>
        <v>50.670000000000009</v>
      </c>
      <c r="T38" s="58">
        <f t="shared" si="15"/>
        <v>0</v>
      </c>
      <c r="U38" s="58">
        <f t="shared" si="16"/>
        <v>0</v>
      </c>
      <c r="V38" s="58">
        <f t="shared" si="17"/>
        <v>0</v>
      </c>
      <c r="W38" s="57">
        <f t="shared" si="6"/>
        <v>0</v>
      </c>
      <c r="X38" s="58">
        <f>(F38*$D38)-L38</f>
        <v>0</v>
      </c>
      <c r="Y38" s="58">
        <f t="shared" si="22"/>
        <v>66.819999999999993</v>
      </c>
      <c r="Z38" s="58">
        <f t="shared" si="18"/>
        <v>0</v>
      </c>
      <c r="AA38" s="58">
        <f t="shared" si="19"/>
        <v>0</v>
      </c>
      <c r="AB38" s="59">
        <f t="shared" si="20"/>
        <v>0</v>
      </c>
    </row>
    <row r="39" spans="1:28" ht="15.75" thickBot="1" x14ac:dyDescent="0.3">
      <c r="A39" s="73">
        <v>1</v>
      </c>
      <c r="B39" s="195" t="s">
        <v>135</v>
      </c>
      <c r="C39" s="196">
        <v>2.97</v>
      </c>
      <c r="D39" s="196">
        <v>3.82</v>
      </c>
      <c r="E39" s="67"/>
      <c r="F39" s="68"/>
      <c r="G39" s="68">
        <v>19</v>
      </c>
      <c r="H39" s="68"/>
      <c r="I39" s="68"/>
      <c r="J39" s="69"/>
      <c r="K39" s="70"/>
      <c r="L39" s="71"/>
      <c r="M39" s="71">
        <f>(1.8*3.2)</f>
        <v>5.7600000000000007</v>
      </c>
      <c r="N39" s="71"/>
      <c r="O39" s="71"/>
      <c r="P39" s="71"/>
      <c r="Q39" s="67">
        <f t="shared" si="13"/>
        <v>0</v>
      </c>
      <c r="R39" s="68">
        <f t="shared" si="14"/>
        <v>0</v>
      </c>
      <c r="S39" s="68">
        <f t="shared" si="21"/>
        <v>50.670000000000009</v>
      </c>
      <c r="T39" s="68">
        <f t="shared" si="15"/>
        <v>0</v>
      </c>
      <c r="U39" s="68">
        <f t="shared" si="16"/>
        <v>0</v>
      </c>
      <c r="V39" s="68">
        <f t="shared" si="17"/>
        <v>0</v>
      </c>
      <c r="W39" s="67">
        <f t="shared" si="6"/>
        <v>0</v>
      </c>
      <c r="X39" s="68">
        <f>(F39*$D39)-L39</f>
        <v>0</v>
      </c>
      <c r="Y39" s="68">
        <f t="shared" si="22"/>
        <v>66.819999999999993</v>
      </c>
      <c r="Z39" s="68">
        <f t="shared" si="18"/>
        <v>0</v>
      </c>
      <c r="AA39" s="68">
        <f t="shared" si="19"/>
        <v>0</v>
      </c>
      <c r="AB39" s="69">
        <f t="shared" si="20"/>
        <v>0</v>
      </c>
    </row>
    <row r="40" spans="1:28" x14ac:dyDescent="0.25">
      <c r="Q40" s="76">
        <f t="shared" ref="Q40:AB40" si="23">SUM(Q3:Q39)</f>
        <v>1945.4394499999999</v>
      </c>
      <c r="R40" s="76">
        <f t="shared" si="23"/>
        <v>406.99799999999999</v>
      </c>
      <c r="S40" s="76">
        <f t="shared" si="23"/>
        <v>339.44900000000001</v>
      </c>
      <c r="T40" s="76">
        <f t="shared" si="23"/>
        <v>200.31540000000004</v>
      </c>
      <c r="U40" s="76">
        <f t="shared" si="23"/>
        <v>94.743599999999986</v>
      </c>
      <c r="V40" s="76">
        <f t="shared" si="23"/>
        <v>0</v>
      </c>
      <c r="W40" s="76">
        <f t="shared" si="23"/>
        <v>2480.0626999999999</v>
      </c>
      <c r="X40" s="76">
        <f t="shared" si="23"/>
        <v>0</v>
      </c>
      <c r="Y40" s="76">
        <f t="shared" si="23"/>
        <v>509.17699999999996</v>
      </c>
      <c r="Z40" s="76">
        <f t="shared" si="23"/>
        <v>257.79359999999997</v>
      </c>
      <c r="AA40" s="76">
        <f t="shared" si="23"/>
        <v>116.81039999999999</v>
      </c>
      <c r="AB40" s="76">
        <f t="shared" si="23"/>
        <v>0</v>
      </c>
    </row>
  </sheetData>
  <mergeCells count="8">
    <mergeCell ref="W1:AB1"/>
    <mergeCell ref="E1:J1"/>
    <mergeCell ref="D1:D2"/>
    <mergeCell ref="B1:B2"/>
    <mergeCell ref="A1:A2"/>
    <mergeCell ref="K1:P1"/>
    <mergeCell ref="Q1:V1"/>
    <mergeCell ref="C1:C2"/>
  </mergeCells>
  <conditionalFormatting sqref="Q1:AB1048576">
    <cfRule type="cellIs" dxfId="2" priority="1" operator="equal">
      <formula>0</formula>
    </cfRule>
  </conditionalFormatting>
  <pageMargins left="0.25" right="0.25" top="0.75" bottom="0.75" header="0.3" footer="0.3"/>
  <pageSetup paperSize="8" scale="73" orientation="landscape" r:id="rId1"/>
  <headerFooter>
    <oddFooter>&amp;CEng. Civil Daniele Firme Miranda
CREA nº 24965/D-DF
ART nº 0720200047165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5173C-E24F-4FF6-8F96-AFC22AC2E1C5}">
  <dimension ref="A1:P38"/>
  <sheetViews>
    <sheetView view="pageLayout" topLeftCell="A49" zoomScaleNormal="55" workbookViewId="0">
      <selection activeCell="E34" sqref="E34"/>
    </sheetView>
  </sheetViews>
  <sheetFormatPr defaultRowHeight="15" x14ac:dyDescent="0.25"/>
  <cols>
    <col min="1" max="1" width="22" style="209" customWidth="1"/>
    <col min="2" max="4" width="12.28515625" style="209" customWidth="1"/>
    <col min="5" max="7" width="16.42578125" style="198" customWidth="1"/>
    <col min="8" max="8" width="7.28515625" style="198" customWidth="1"/>
    <col min="9" max="9" width="22.85546875" style="209" customWidth="1"/>
    <col min="10" max="13" width="12.28515625" style="209" customWidth="1"/>
    <col min="14" max="16" width="16.42578125" style="198" customWidth="1"/>
    <col min="17" max="16384" width="9.140625" style="209"/>
  </cols>
  <sheetData>
    <row r="1" spans="1:16" s="7" customFormat="1" x14ac:dyDescent="0.25">
      <c r="E1" s="292" t="s">
        <v>101</v>
      </c>
      <c r="F1" s="293"/>
      <c r="G1" s="294"/>
      <c r="H1" s="46"/>
      <c r="N1" s="292" t="s">
        <v>138</v>
      </c>
      <c r="O1" s="293"/>
      <c r="P1" s="294"/>
    </row>
    <row r="2" spans="1:16" s="7" customFormat="1" x14ac:dyDescent="0.25">
      <c r="E2" s="197" t="s">
        <v>97</v>
      </c>
      <c r="F2" s="198" t="s">
        <v>71</v>
      </c>
      <c r="G2" s="199" t="s">
        <v>100</v>
      </c>
      <c r="H2" s="46"/>
      <c r="N2" s="197" t="s">
        <v>97</v>
      </c>
      <c r="O2" s="198" t="s">
        <v>71</v>
      </c>
      <c r="P2" s="199" t="s">
        <v>100</v>
      </c>
    </row>
    <row r="3" spans="1:16" s="7" customFormat="1" ht="15.75" thickBot="1" x14ac:dyDescent="0.3">
      <c r="A3" s="7" t="s">
        <v>98</v>
      </c>
      <c r="E3" s="197">
        <f>223.04+8.14</f>
        <v>231.18</v>
      </c>
      <c r="F3" s="198">
        <v>18.84</v>
      </c>
      <c r="G3" s="199">
        <f>47.38+4.5</f>
        <v>51.88</v>
      </c>
      <c r="H3" s="46"/>
      <c r="I3" s="7" t="s">
        <v>98</v>
      </c>
      <c r="N3" s="197">
        <v>205.03</v>
      </c>
      <c r="O3" s="198">
        <v>48.3</v>
      </c>
      <c r="P3" s="199">
        <v>50.45</v>
      </c>
    </row>
    <row r="4" spans="1:16" s="7" customFormat="1" ht="15.75" thickBot="1" x14ac:dyDescent="0.3">
      <c r="A4" s="7" t="s">
        <v>99</v>
      </c>
      <c r="E4" s="200">
        <f>E3*3.88</f>
        <v>896.97839999999997</v>
      </c>
      <c r="F4" s="200">
        <f>F3*3.88</f>
        <v>73.099199999999996</v>
      </c>
      <c r="G4" s="201">
        <f>G3*3.88</f>
        <v>201.2944</v>
      </c>
      <c r="H4" s="53"/>
      <c r="I4" s="7" t="s">
        <v>99</v>
      </c>
      <c r="N4" s="200">
        <f>N3*3.82</f>
        <v>783.21460000000002</v>
      </c>
      <c r="O4" s="200">
        <f>O3*3.82</f>
        <v>184.50599999999997</v>
      </c>
      <c r="P4" s="201">
        <f>P3*3.82</f>
        <v>192.71899999999999</v>
      </c>
    </row>
    <row r="5" spans="1:16" s="7" customFormat="1" ht="15.75" thickBot="1" x14ac:dyDescent="0.3">
      <c r="A5" s="202"/>
      <c r="B5" s="202"/>
      <c r="C5" s="202"/>
      <c r="D5" s="202"/>
      <c r="E5" s="197"/>
      <c r="F5" s="198"/>
      <c r="G5" s="199"/>
      <c r="H5" s="46"/>
      <c r="I5" s="202"/>
      <c r="J5" s="202"/>
      <c r="K5" s="202"/>
      <c r="L5" s="202"/>
      <c r="M5" s="202"/>
      <c r="N5" s="197"/>
      <c r="O5" s="198"/>
      <c r="P5" s="199"/>
    </row>
    <row r="6" spans="1:16" s="8" customFormat="1" ht="31.5" customHeight="1" thickBot="1" x14ac:dyDescent="0.3">
      <c r="A6" s="8" t="s">
        <v>102</v>
      </c>
      <c r="B6" s="203" t="s">
        <v>112</v>
      </c>
      <c r="C6" s="204" t="s">
        <v>71</v>
      </c>
      <c r="D6" s="205" t="s">
        <v>30</v>
      </c>
      <c r="E6" s="206">
        <f>SUM(E7:E31)</f>
        <v>208.03399999999996</v>
      </c>
      <c r="F6" s="207">
        <f>SUM(F7:F31)</f>
        <v>1.8900000000000001</v>
      </c>
      <c r="G6" s="207">
        <f>SUM(G7:G31)</f>
        <v>1.6800000000000002</v>
      </c>
      <c r="H6" s="45"/>
      <c r="I6" s="8" t="s">
        <v>102</v>
      </c>
      <c r="J6" s="203" t="s">
        <v>112</v>
      </c>
      <c r="K6" s="203" t="s">
        <v>139</v>
      </c>
      <c r="L6" s="204" t="s">
        <v>71</v>
      </c>
      <c r="M6" s="205" t="s">
        <v>30</v>
      </c>
      <c r="N6" s="206">
        <f>SUM(N7:N31)</f>
        <v>115.06200000000003</v>
      </c>
      <c r="O6" s="207">
        <f>SUM(O7:O31)</f>
        <v>1.8900000000000001</v>
      </c>
      <c r="P6" s="207">
        <f>SUM(P7:P31)</f>
        <v>11.520000000000001</v>
      </c>
    </row>
    <row r="7" spans="1:16" s="7" customFormat="1" x14ac:dyDescent="0.25">
      <c r="A7" s="16"/>
      <c r="B7" s="208"/>
      <c r="C7" s="209"/>
      <c r="D7" s="210"/>
      <c r="E7" s="197"/>
      <c r="F7" s="198"/>
      <c r="G7" s="199"/>
      <c r="H7" s="46"/>
      <c r="I7" s="16"/>
      <c r="J7" s="208"/>
      <c r="K7" s="209"/>
      <c r="L7" s="209"/>
      <c r="M7" s="210"/>
      <c r="N7" s="197"/>
      <c r="O7" s="198"/>
      <c r="P7" s="199"/>
    </row>
    <row r="8" spans="1:16" s="7" customFormat="1" x14ac:dyDescent="0.25">
      <c r="A8" s="16" t="s">
        <v>106</v>
      </c>
      <c r="B8" s="208">
        <v>1</v>
      </c>
      <c r="C8" s="209"/>
      <c r="D8" s="210">
        <f>37.4*2.25</f>
        <v>84.149999999999991</v>
      </c>
      <c r="E8" s="211">
        <f>D8*B8</f>
        <v>84.149999999999991</v>
      </c>
      <c r="F8" s="194">
        <f>C8*D8</f>
        <v>0</v>
      </c>
      <c r="G8" s="212"/>
      <c r="H8" s="46"/>
      <c r="I8" s="16" t="s">
        <v>106</v>
      </c>
      <c r="J8" s="208"/>
      <c r="K8" s="209"/>
      <c r="L8" s="209"/>
      <c r="M8" s="210">
        <f>37.4*2.25</f>
        <v>84.149999999999991</v>
      </c>
      <c r="N8" s="211">
        <f>M8*J8</f>
        <v>0</v>
      </c>
      <c r="O8" s="194">
        <f>M8*L8</f>
        <v>0</v>
      </c>
      <c r="P8" s="212">
        <f>M8*K8</f>
        <v>0</v>
      </c>
    </row>
    <row r="9" spans="1:16" s="7" customFormat="1" x14ac:dyDescent="0.25">
      <c r="A9" s="16" t="s">
        <v>145</v>
      </c>
      <c r="B9" s="208"/>
      <c r="C9" s="209"/>
      <c r="D9" s="210"/>
      <c r="E9" s="211">
        <f t="shared" ref="E9:E19" si="0">D9*B9</f>
        <v>0</v>
      </c>
      <c r="F9" s="194">
        <f t="shared" ref="F9:F19" si="1">C9*D9</f>
        <v>0</v>
      </c>
      <c r="G9" s="212"/>
      <c r="H9" s="46"/>
      <c r="I9" s="16" t="s">
        <v>145</v>
      </c>
      <c r="J9" s="208">
        <v>1</v>
      </c>
      <c r="K9" s="209"/>
      <c r="L9" s="209"/>
      <c r="M9" s="210">
        <f>37.4*2.25</f>
        <v>84.149999999999991</v>
      </c>
      <c r="N9" s="211"/>
      <c r="O9" s="194"/>
      <c r="P9" s="212"/>
    </row>
    <row r="10" spans="1:16" s="7" customFormat="1" x14ac:dyDescent="0.25">
      <c r="A10" s="16" t="s">
        <v>105</v>
      </c>
      <c r="B10" s="208">
        <v>1</v>
      </c>
      <c r="C10" s="209"/>
      <c r="D10" s="210">
        <f>22.5*2.5</f>
        <v>56.25</v>
      </c>
      <c r="E10" s="211">
        <f t="shared" si="0"/>
        <v>56.25</v>
      </c>
      <c r="F10" s="194">
        <f t="shared" si="1"/>
        <v>0</v>
      </c>
      <c r="G10" s="212"/>
      <c r="H10" s="46"/>
      <c r="I10" s="16" t="s">
        <v>105</v>
      </c>
      <c r="J10" s="208"/>
      <c r="K10" s="209"/>
      <c r="L10" s="209"/>
      <c r="M10" s="210">
        <f>22.5*2.5</f>
        <v>56.25</v>
      </c>
      <c r="N10" s="211">
        <f t="shared" ref="N10:N31" si="2">M10*J10</f>
        <v>0</v>
      </c>
      <c r="O10" s="194">
        <f t="shared" ref="O10:O31" si="3">M10*L10</f>
        <v>0</v>
      </c>
      <c r="P10" s="212">
        <f t="shared" ref="P10:P31" si="4">M10*K10</f>
        <v>0</v>
      </c>
    </row>
    <row r="11" spans="1:16" s="7" customFormat="1" x14ac:dyDescent="0.25">
      <c r="A11" s="16" t="s">
        <v>107</v>
      </c>
      <c r="B11" s="208">
        <v>1</v>
      </c>
      <c r="C11" s="209"/>
      <c r="D11" s="210">
        <f>3.16*1.8</f>
        <v>5.6880000000000006</v>
      </c>
      <c r="E11" s="211">
        <f t="shared" si="0"/>
        <v>5.6880000000000006</v>
      </c>
      <c r="F11" s="194">
        <f t="shared" si="1"/>
        <v>0</v>
      </c>
      <c r="G11" s="212"/>
      <c r="H11" s="46"/>
      <c r="I11" s="16" t="s">
        <v>107</v>
      </c>
      <c r="J11" s="208"/>
      <c r="K11" s="209"/>
      <c r="L11" s="209"/>
      <c r="M11" s="210">
        <f>3.16*1.8</f>
        <v>5.6880000000000006</v>
      </c>
      <c r="N11" s="211">
        <f t="shared" si="2"/>
        <v>0</v>
      </c>
      <c r="O11" s="194">
        <f t="shared" si="3"/>
        <v>0</v>
      </c>
      <c r="P11" s="212">
        <f t="shared" si="4"/>
        <v>0</v>
      </c>
    </row>
    <row r="12" spans="1:16" s="7" customFormat="1" x14ac:dyDescent="0.25">
      <c r="A12" s="16" t="s">
        <v>108</v>
      </c>
      <c r="B12" s="208">
        <v>1</v>
      </c>
      <c r="C12" s="209"/>
      <c r="D12" s="210">
        <f>1.8*1.8</f>
        <v>3.24</v>
      </c>
      <c r="E12" s="211">
        <f t="shared" si="0"/>
        <v>3.24</v>
      </c>
      <c r="F12" s="194">
        <f t="shared" si="1"/>
        <v>0</v>
      </c>
      <c r="G12" s="212"/>
      <c r="H12" s="46"/>
      <c r="I12" s="16" t="s">
        <v>108</v>
      </c>
      <c r="J12" s="208"/>
      <c r="K12" s="209"/>
      <c r="L12" s="209"/>
      <c r="M12" s="210">
        <f>1.8*1.8</f>
        <v>3.24</v>
      </c>
      <c r="N12" s="211">
        <f t="shared" si="2"/>
        <v>0</v>
      </c>
      <c r="O12" s="194">
        <f t="shared" si="3"/>
        <v>0</v>
      </c>
      <c r="P12" s="212">
        <f t="shared" si="4"/>
        <v>0</v>
      </c>
    </row>
    <row r="13" spans="1:16" s="7" customFormat="1" x14ac:dyDescent="0.25">
      <c r="A13" s="16" t="s">
        <v>146</v>
      </c>
      <c r="B13" s="208">
        <v>1</v>
      </c>
      <c r="C13" s="209"/>
      <c r="D13" s="210">
        <f>1.9*1.8</f>
        <v>3.42</v>
      </c>
      <c r="E13" s="211">
        <f t="shared" si="0"/>
        <v>3.42</v>
      </c>
      <c r="F13" s="194">
        <f t="shared" si="1"/>
        <v>0</v>
      </c>
      <c r="G13" s="212"/>
      <c r="H13" s="46"/>
      <c r="I13" s="16" t="s">
        <v>146</v>
      </c>
      <c r="J13" s="208"/>
      <c r="K13" s="209"/>
      <c r="L13" s="209"/>
      <c r="M13" s="210"/>
      <c r="N13" s="211"/>
      <c r="O13" s="194"/>
      <c r="P13" s="212"/>
    </row>
    <row r="14" spans="1:16" s="7" customFormat="1" x14ac:dyDescent="0.25">
      <c r="A14" s="16" t="s">
        <v>147</v>
      </c>
      <c r="B14" s="208"/>
      <c r="C14" s="209"/>
      <c r="D14" s="210"/>
      <c r="E14" s="211">
        <f t="shared" si="0"/>
        <v>0</v>
      </c>
      <c r="F14" s="194">
        <f t="shared" si="1"/>
        <v>0</v>
      </c>
      <c r="G14" s="212"/>
      <c r="H14" s="46"/>
      <c r="I14" s="16" t="s">
        <v>147</v>
      </c>
      <c r="J14" s="208">
        <v>1</v>
      </c>
      <c r="K14" s="209"/>
      <c r="L14" s="209"/>
      <c r="M14" s="210">
        <f>22.27*2.4</f>
        <v>53.448</v>
      </c>
      <c r="N14" s="211">
        <f t="shared" si="2"/>
        <v>53.448</v>
      </c>
      <c r="O14" s="194"/>
      <c r="P14" s="212"/>
    </row>
    <row r="15" spans="1:16" s="7" customFormat="1" x14ac:dyDescent="0.25">
      <c r="A15" s="16" t="s">
        <v>148</v>
      </c>
      <c r="B15" s="208"/>
      <c r="C15" s="209"/>
      <c r="D15" s="210"/>
      <c r="E15" s="211">
        <f t="shared" si="0"/>
        <v>0</v>
      </c>
      <c r="F15" s="194">
        <f t="shared" si="1"/>
        <v>0</v>
      </c>
      <c r="G15" s="212"/>
      <c r="H15" s="46"/>
      <c r="I15" s="16" t="s">
        <v>148</v>
      </c>
      <c r="J15" s="208">
        <v>1</v>
      </c>
      <c r="K15" s="209"/>
      <c r="L15" s="209"/>
      <c r="M15" s="210">
        <f>3.16*2.4</f>
        <v>7.5839999999999996</v>
      </c>
      <c r="N15" s="211">
        <f t="shared" si="2"/>
        <v>7.5839999999999996</v>
      </c>
      <c r="O15" s="194"/>
      <c r="P15" s="212"/>
    </row>
    <row r="16" spans="1:16" s="7" customFormat="1" x14ac:dyDescent="0.25">
      <c r="A16" s="16" t="s">
        <v>149</v>
      </c>
      <c r="B16" s="208"/>
      <c r="C16" s="209"/>
      <c r="D16" s="210"/>
      <c r="E16" s="211">
        <f t="shared" si="0"/>
        <v>0</v>
      </c>
      <c r="F16" s="194">
        <f t="shared" si="1"/>
        <v>0</v>
      </c>
      <c r="G16" s="212"/>
      <c r="H16" s="46"/>
      <c r="I16" s="16" t="s">
        <v>149</v>
      </c>
      <c r="J16" s="208">
        <v>1</v>
      </c>
      <c r="K16" s="209"/>
      <c r="L16" s="209"/>
      <c r="M16" s="210">
        <f>1.8*2.4</f>
        <v>4.32</v>
      </c>
      <c r="N16" s="211">
        <f t="shared" si="2"/>
        <v>4.32</v>
      </c>
      <c r="O16" s="194"/>
      <c r="P16" s="212"/>
    </row>
    <row r="17" spans="1:16" s="7" customFormat="1" x14ac:dyDescent="0.25">
      <c r="A17" s="16" t="s">
        <v>150</v>
      </c>
      <c r="B17" s="208"/>
      <c r="C17" s="209"/>
      <c r="D17" s="210"/>
      <c r="E17" s="211">
        <f t="shared" si="0"/>
        <v>0</v>
      </c>
      <c r="F17" s="194">
        <f t="shared" si="1"/>
        <v>0</v>
      </c>
      <c r="G17" s="212"/>
      <c r="H17" s="46"/>
      <c r="I17" s="16" t="s">
        <v>150</v>
      </c>
      <c r="J17" s="208">
        <v>1</v>
      </c>
      <c r="K17" s="209"/>
      <c r="L17" s="209"/>
      <c r="M17" s="210">
        <f>1.9*2.4</f>
        <v>4.5599999999999996</v>
      </c>
      <c r="N17" s="211">
        <f t="shared" si="2"/>
        <v>4.5599999999999996</v>
      </c>
      <c r="O17" s="194"/>
      <c r="P17" s="212"/>
    </row>
    <row r="18" spans="1:16" s="7" customFormat="1" x14ac:dyDescent="0.25">
      <c r="A18" s="16" t="s">
        <v>140</v>
      </c>
      <c r="B18" s="208"/>
      <c r="C18" s="209"/>
      <c r="D18" s="210"/>
      <c r="E18" s="211">
        <f>D18*B18</f>
        <v>0</v>
      </c>
      <c r="F18" s="194">
        <f t="shared" si="1"/>
        <v>0</v>
      </c>
      <c r="G18" s="212"/>
      <c r="H18" s="46"/>
      <c r="I18" s="16" t="s">
        <v>140</v>
      </c>
      <c r="J18" s="208"/>
      <c r="K18" s="209">
        <v>2</v>
      </c>
      <c r="L18" s="209"/>
      <c r="M18" s="210">
        <f>1.8*3.2</f>
        <v>5.7600000000000007</v>
      </c>
      <c r="N18" s="211">
        <f t="shared" si="2"/>
        <v>0</v>
      </c>
      <c r="O18" s="194">
        <f t="shared" si="3"/>
        <v>0</v>
      </c>
      <c r="P18" s="212">
        <f t="shared" si="4"/>
        <v>11.520000000000001</v>
      </c>
    </row>
    <row r="19" spans="1:16" s="7" customFormat="1" x14ac:dyDescent="0.25">
      <c r="A19" s="16" t="s">
        <v>109</v>
      </c>
      <c r="B19" s="208">
        <v>2</v>
      </c>
      <c r="C19" s="209"/>
      <c r="D19" s="210">
        <f>1.22*1.4</f>
        <v>1.708</v>
      </c>
      <c r="E19" s="211">
        <f t="shared" si="0"/>
        <v>3.4159999999999999</v>
      </c>
      <c r="F19" s="194">
        <f t="shared" si="1"/>
        <v>0</v>
      </c>
      <c r="G19" s="212"/>
      <c r="H19" s="46"/>
      <c r="I19" s="16" t="s">
        <v>109</v>
      </c>
      <c r="J19" s="208"/>
      <c r="K19" s="209"/>
      <c r="L19" s="209"/>
      <c r="M19" s="210">
        <f>1.22*1.4</f>
        <v>1.708</v>
      </c>
      <c r="N19" s="211">
        <f t="shared" si="2"/>
        <v>0</v>
      </c>
      <c r="O19" s="194">
        <f t="shared" si="3"/>
        <v>0</v>
      </c>
      <c r="P19" s="212">
        <f t="shared" si="4"/>
        <v>0</v>
      </c>
    </row>
    <row r="20" spans="1:16" s="7" customFormat="1" x14ac:dyDescent="0.25">
      <c r="A20" s="16" t="s">
        <v>110</v>
      </c>
      <c r="B20" s="208"/>
      <c r="C20" s="209"/>
      <c r="D20" s="210">
        <f>0.8*2.1</f>
        <v>1.6800000000000002</v>
      </c>
      <c r="E20" s="211">
        <f t="shared" ref="E20:E21" si="5">D20*B20</f>
        <v>0</v>
      </c>
      <c r="F20" s="194">
        <f t="shared" ref="F20:F21" si="6">C20*D20</f>
        <v>0</v>
      </c>
      <c r="G20" s="212">
        <f>D20</f>
        <v>1.6800000000000002</v>
      </c>
      <c r="H20" s="46"/>
      <c r="I20" s="16" t="s">
        <v>110</v>
      </c>
      <c r="J20" s="208"/>
      <c r="K20" s="209"/>
      <c r="L20" s="209"/>
      <c r="M20" s="210">
        <f>0.8*2.1</f>
        <v>1.6800000000000002</v>
      </c>
      <c r="N20" s="211">
        <f t="shared" si="2"/>
        <v>0</v>
      </c>
      <c r="O20" s="194">
        <f t="shared" si="3"/>
        <v>0</v>
      </c>
      <c r="P20" s="212">
        <f t="shared" si="4"/>
        <v>0</v>
      </c>
    </row>
    <row r="21" spans="1:16" s="7" customFormat="1" x14ac:dyDescent="0.25">
      <c r="A21" s="16" t="s">
        <v>114</v>
      </c>
      <c r="B21" s="208">
        <v>2</v>
      </c>
      <c r="C21" s="209"/>
      <c r="D21" s="210">
        <f>0.8*2.1</f>
        <v>1.6800000000000002</v>
      </c>
      <c r="E21" s="211">
        <f t="shared" si="5"/>
        <v>3.3600000000000003</v>
      </c>
      <c r="F21" s="194">
        <f t="shared" si="6"/>
        <v>0</v>
      </c>
      <c r="G21" s="212"/>
      <c r="H21" s="46"/>
      <c r="I21" s="16" t="s">
        <v>114</v>
      </c>
      <c r="J21" s="208">
        <v>2</v>
      </c>
      <c r="K21" s="209"/>
      <c r="L21" s="209"/>
      <c r="M21" s="210">
        <f>0.8*2.1</f>
        <v>1.6800000000000002</v>
      </c>
      <c r="N21" s="211">
        <f t="shared" si="2"/>
        <v>3.3600000000000003</v>
      </c>
      <c r="O21" s="194">
        <f t="shared" si="3"/>
        <v>0</v>
      </c>
      <c r="P21" s="212">
        <f t="shared" si="4"/>
        <v>0</v>
      </c>
    </row>
    <row r="22" spans="1:16" s="7" customFormat="1" x14ac:dyDescent="0.25">
      <c r="A22" s="16" t="s">
        <v>121</v>
      </c>
      <c r="B22" s="208">
        <v>3</v>
      </c>
      <c r="C22" s="209"/>
      <c r="D22" s="210">
        <f>0.9*2.1</f>
        <v>1.8900000000000001</v>
      </c>
      <c r="E22" s="211">
        <f t="shared" ref="E22:E29" si="7">D22*B22</f>
        <v>5.67</v>
      </c>
      <c r="F22" s="194">
        <f t="shared" ref="F22:F29" si="8">C22*D22</f>
        <v>0</v>
      </c>
      <c r="G22" s="212"/>
      <c r="H22" s="46"/>
      <c r="I22" s="16" t="s">
        <v>121</v>
      </c>
      <c r="J22" s="208"/>
      <c r="K22" s="209"/>
      <c r="L22" s="209"/>
      <c r="M22" s="210">
        <f>0.9*2.1</f>
        <v>1.8900000000000001</v>
      </c>
      <c r="N22" s="211">
        <f t="shared" si="2"/>
        <v>0</v>
      </c>
      <c r="O22" s="194">
        <f t="shared" si="3"/>
        <v>0</v>
      </c>
      <c r="P22" s="212">
        <f t="shared" si="4"/>
        <v>0</v>
      </c>
    </row>
    <row r="23" spans="1:16" s="7" customFormat="1" x14ac:dyDescent="0.25">
      <c r="A23" s="16" t="s">
        <v>115</v>
      </c>
      <c r="B23" s="208"/>
      <c r="C23" s="209"/>
      <c r="D23" s="210">
        <f>1.6*2.1</f>
        <v>3.3600000000000003</v>
      </c>
      <c r="E23" s="211">
        <f t="shared" si="7"/>
        <v>0</v>
      </c>
      <c r="F23" s="194">
        <f t="shared" si="8"/>
        <v>0</v>
      </c>
      <c r="G23" s="212"/>
      <c r="H23" s="46"/>
      <c r="I23" s="16" t="s">
        <v>115</v>
      </c>
      <c r="J23" s="208"/>
      <c r="K23" s="209"/>
      <c r="L23" s="209"/>
      <c r="M23" s="210">
        <f>1.6*2.1</f>
        <v>3.3600000000000003</v>
      </c>
      <c r="N23" s="211">
        <f t="shared" si="2"/>
        <v>0</v>
      </c>
      <c r="O23" s="194">
        <f t="shared" si="3"/>
        <v>0</v>
      </c>
      <c r="P23" s="212">
        <f t="shared" si="4"/>
        <v>0</v>
      </c>
    </row>
    <row r="24" spans="1:16" s="7" customFormat="1" x14ac:dyDescent="0.25">
      <c r="A24" s="16" t="s">
        <v>113</v>
      </c>
      <c r="B24" s="208">
        <v>2</v>
      </c>
      <c r="C24" s="209"/>
      <c r="D24" s="210">
        <f>1.6*2.1</f>
        <v>3.3600000000000003</v>
      </c>
      <c r="E24" s="211">
        <f t="shared" si="7"/>
        <v>6.7200000000000006</v>
      </c>
      <c r="F24" s="194">
        <f t="shared" si="8"/>
        <v>0</v>
      </c>
      <c r="G24" s="199"/>
      <c r="H24" s="46"/>
      <c r="I24" s="16" t="s">
        <v>113</v>
      </c>
      <c r="J24" s="208"/>
      <c r="K24" s="209"/>
      <c r="L24" s="209"/>
      <c r="M24" s="210">
        <f>1.6*2.1</f>
        <v>3.3600000000000003</v>
      </c>
      <c r="N24" s="211">
        <f t="shared" si="2"/>
        <v>0</v>
      </c>
      <c r="O24" s="194">
        <f t="shared" si="3"/>
        <v>0</v>
      </c>
      <c r="P24" s="212">
        <f t="shared" si="4"/>
        <v>0</v>
      </c>
    </row>
    <row r="25" spans="1:16" s="7" customFormat="1" x14ac:dyDescent="0.25">
      <c r="A25" s="16" t="s">
        <v>116</v>
      </c>
      <c r="B25" s="208">
        <v>4</v>
      </c>
      <c r="C25" s="209"/>
      <c r="D25" s="210">
        <f>1.6*2.1</f>
        <v>3.3600000000000003</v>
      </c>
      <c r="E25" s="211">
        <f t="shared" si="7"/>
        <v>13.440000000000001</v>
      </c>
      <c r="F25" s="194">
        <f t="shared" si="8"/>
        <v>0</v>
      </c>
      <c r="G25" s="199"/>
      <c r="H25" s="46"/>
      <c r="I25" s="16" t="s">
        <v>116</v>
      </c>
      <c r="J25" s="208">
        <v>6</v>
      </c>
      <c r="K25" s="209"/>
      <c r="L25" s="209"/>
      <c r="M25" s="210">
        <f>1.6*2.1</f>
        <v>3.3600000000000003</v>
      </c>
      <c r="N25" s="211">
        <f t="shared" si="2"/>
        <v>20.160000000000004</v>
      </c>
      <c r="O25" s="194">
        <f t="shared" si="3"/>
        <v>0</v>
      </c>
      <c r="P25" s="212">
        <f t="shared" si="4"/>
        <v>0</v>
      </c>
    </row>
    <row r="26" spans="1:16" s="7" customFormat="1" x14ac:dyDescent="0.25">
      <c r="A26" s="16" t="s">
        <v>117</v>
      </c>
      <c r="B26" s="208"/>
      <c r="C26" s="209"/>
      <c r="D26" s="210">
        <f>0.8*2.1</f>
        <v>1.6800000000000002</v>
      </c>
      <c r="E26" s="211">
        <f t="shared" si="7"/>
        <v>0</v>
      </c>
      <c r="F26" s="194">
        <f t="shared" si="8"/>
        <v>0</v>
      </c>
      <c r="G26" s="199"/>
      <c r="H26" s="46"/>
      <c r="I26" s="16" t="s">
        <v>117</v>
      </c>
      <c r="J26" s="208">
        <v>4</v>
      </c>
      <c r="K26" s="209"/>
      <c r="L26" s="209"/>
      <c r="M26" s="210">
        <f>0.8*2.1</f>
        <v>1.6800000000000002</v>
      </c>
      <c r="N26" s="211">
        <f t="shared" si="2"/>
        <v>6.7200000000000006</v>
      </c>
      <c r="O26" s="194">
        <f t="shared" si="3"/>
        <v>0</v>
      </c>
      <c r="P26" s="212">
        <f t="shared" si="4"/>
        <v>0</v>
      </c>
    </row>
    <row r="27" spans="1:16" s="7" customFormat="1" x14ac:dyDescent="0.25">
      <c r="A27" s="16" t="s">
        <v>118</v>
      </c>
      <c r="B27" s="208">
        <v>10</v>
      </c>
      <c r="C27" s="209">
        <v>1</v>
      </c>
      <c r="D27" s="210">
        <f>0.9*2.1</f>
        <v>1.8900000000000001</v>
      </c>
      <c r="E27" s="211">
        <f t="shared" si="7"/>
        <v>18.900000000000002</v>
      </c>
      <c r="F27" s="194">
        <f t="shared" si="8"/>
        <v>1.8900000000000001</v>
      </c>
      <c r="G27" s="199"/>
      <c r="H27" s="46"/>
      <c r="I27" s="16" t="s">
        <v>118</v>
      </c>
      <c r="J27" s="208">
        <v>7</v>
      </c>
      <c r="K27" s="209"/>
      <c r="L27" s="209">
        <v>1</v>
      </c>
      <c r="M27" s="210">
        <f>0.9*2.1</f>
        <v>1.8900000000000001</v>
      </c>
      <c r="N27" s="211">
        <f t="shared" si="2"/>
        <v>13.23</v>
      </c>
      <c r="O27" s="194">
        <f t="shared" si="3"/>
        <v>1.8900000000000001</v>
      </c>
      <c r="P27" s="212">
        <f t="shared" si="4"/>
        <v>0</v>
      </c>
    </row>
    <row r="28" spans="1:16" s="7" customFormat="1" x14ac:dyDescent="0.25">
      <c r="A28" s="16" t="s">
        <v>119</v>
      </c>
      <c r="B28" s="208">
        <v>1</v>
      </c>
      <c r="C28" s="209"/>
      <c r="D28" s="210">
        <f>1*2.1</f>
        <v>2.1</v>
      </c>
      <c r="E28" s="211">
        <f t="shared" si="7"/>
        <v>2.1</v>
      </c>
      <c r="F28" s="194">
        <f t="shared" si="8"/>
        <v>0</v>
      </c>
      <c r="G28" s="199"/>
      <c r="H28" s="46"/>
      <c r="I28" s="16" t="s">
        <v>119</v>
      </c>
      <c r="J28" s="208"/>
      <c r="K28" s="209"/>
      <c r="L28" s="209"/>
      <c r="M28" s="210">
        <f>1*2.1</f>
        <v>2.1</v>
      </c>
      <c r="N28" s="211">
        <f t="shared" si="2"/>
        <v>0</v>
      </c>
      <c r="O28" s="194">
        <f t="shared" si="3"/>
        <v>0</v>
      </c>
      <c r="P28" s="212">
        <f t="shared" si="4"/>
        <v>0</v>
      </c>
    </row>
    <row r="29" spans="1:16" s="7" customFormat="1" x14ac:dyDescent="0.25">
      <c r="A29" s="16" t="s">
        <v>120</v>
      </c>
      <c r="B29" s="208">
        <v>1</v>
      </c>
      <c r="C29" s="209"/>
      <c r="D29" s="210">
        <f>0.8*2.1</f>
        <v>1.6800000000000002</v>
      </c>
      <c r="E29" s="211">
        <f t="shared" si="7"/>
        <v>1.6800000000000002</v>
      </c>
      <c r="F29" s="194">
        <f t="shared" si="8"/>
        <v>0</v>
      </c>
      <c r="G29" s="199"/>
      <c r="H29" s="46"/>
      <c r="I29" s="16" t="s">
        <v>120</v>
      </c>
      <c r="J29" s="208">
        <v>1</v>
      </c>
      <c r="K29" s="209"/>
      <c r="L29" s="209"/>
      <c r="M29" s="210">
        <f>0.8*2.1</f>
        <v>1.6800000000000002</v>
      </c>
      <c r="N29" s="211">
        <f t="shared" si="2"/>
        <v>1.6800000000000002</v>
      </c>
      <c r="O29" s="194">
        <f t="shared" si="3"/>
        <v>0</v>
      </c>
      <c r="P29" s="212">
        <f t="shared" si="4"/>
        <v>0</v>
      </c>
    </row>
    <row r="30" spans="1:16" s="7" customFormat="1" x14ac:dyDescent="0.25">
      <c r="A30" s="16"/>
      <c r="B30" s="208"/>
      <c r="C30" s="209"/>
      <c r="D30" s="210"/>
      <c r="E30" s="211"/>
      <c r="F30" s="194"/>
      <c r="G30" s="199"/>
      <c r="H30" s="46"/>
      <c r="I30" s="16"/>
      <c r="J30" s="208"/>
      <c r="K30" s="209"/>
      <c r="L30" s="209"/>
      <c r="M30" s="210"/>
      <c r="N30" s="211">
        <f t="shared" si="2"/>
        <v>0</v>
      </c>
      <c r="O30" s="194">
        <f t="shared" si="3"/>
        <v>0</v>
      </c>
      <c r="P30" s="212">
        <f t="shared" si="4"/>
        <v>0</v>
      </c>
    </row>
    <row r="31" spans="1:16" s="7" customFormat="1" ht="15.75" thickBot="1" x14ac:dyDescent="0.3">
      <c r="A31" s="16"/>
      <c r="B31" s="213"/>
      <c r="C31" s="214"/>
      <c r="D31" s="215"/>
      <c r="E31" s="197"/>
      <c r="F31" s="198"/>
      <c r="G31" s="199"/>
      <c r="H31" s="46"/>
      <c r="I31" s="16"/>
      <c r="J31" s="213"/>
      <c r="K31" s="214"/>
      <c r="L31" s="214"/>
      <c r="M31" s="215"/>
      <c r="N31" s="211">
        <f t="shared" si="2"/>
        <v>0</v>
      </c>
      <c r="O31" s="194">
        <f t="shared" si="3"/>
        <v>0</v>
      </c>
      <c r="P31" s="212">
        <f t="shared" si="4"/>
        <v>0</v>
      </c>
    </row>
    <row r="32" spans="1:16" s="7" customFormat="1" x14ac:dyDescent="0.25">
      <c r="A32" s="16"/>
      <c r="B32" s="209"/>
      <c r="C32" s="209"/>
      <c r="D32" s="209"/>
      <c r="E32" s="197"/>
      <c r="F32" s="198"/>
      <c r="G32" s="199"/>
      <c r="H32" s="46"/>
      <c r="I32" s="16"/>
      <c r="J32" s="209"/>
      <c r="K32" s="209"/>
      <c r="L32" s="209"/>
      <c r="M32" s="209"/>
      <c r="N32" s="197"/>
      <c r="O32" s="198"/>
      <c r="P32" s="199"/>
    </row>
    <row r="33" spans="1:16" s="7" customFormat="1" x14ac:dyDescent="0.25">
      <c r="A33" s="7" t="s">
        <v>104</v>
      </c>
      <c r="E33" s="197">
        <v>76.42</v>
      </c>
      <c r="F33" s="198"/>
      <c r="G33" s="199">
        <v>16.649999999999999</v>
      </c>
      <c r="H33" s="46"/>
      <c r="I33" s="7" t="s">
        <v>104</v>
      </c>
      <c r="N33" s="197">
        <v>40.22</v>
      </c>
      <c r="O33" s="198">
        <v>6.1</v>
      </c>
      <c r="P33" s="199">
        <v>45.3</v>
      </c>
    </row>
    <row r="34" spans="1:16" s="7" customFormat="1" x14ac:dyDescent="0.25">
      <c r="A34" s="7" t="s">
        <v>103</v>
      </c>
      <c r="E34" s="211">
        <f>0.65*E33</f>
        <v>49.673000000000002</v>
      </c>
      <c r="F34" s="198"/>
      <c r="G34" s="212">
        <f>0.65*G33</f>
        <v>10.8225</v>
      </c>
      <c r="H34" s="46"/>
      <c r="I34" s="7" t="s">
        <v>103</v>
      </c>
      <c r="N34" s="211">
        <f>0.5*N33</f>
        <v>20.11</v>
      </c>
      <c r="O34" s="194">
        <f>0.5*O33</f>
        <v>3.05</v>
      </c>
      <c r="P34" s="212">
        <f>0.5*P33</f>
        <v>22.65</v>
      </c>
    </row>
    <row r="35" spans="1:16" s="7" customFormat="1" ht="15.75" thickBot="1" x14ac:dyDescent="0.3">
      <c r="E35" s="216"/>
      <c r="F35" s="217"/>
      <c r="G35" s="218"/>
      <c r="H35" s="46"/>
      <c r="N35" s="216"/>
      <c r="O35" s="217"/>
      <c r="P35" s="218"/>
    </row>
    <row r="36" spans="1:16" s="7" customFormat="1" ht="15.75" thickBot="1" x14ac:dyDescent="0.3">
      <c r="A36" s="219" t="s">
        <v>111</v>
      </c>
      <c r="B36" s="220"/>
      <c r="C36" s="220"/>
      <c r="D36" s="220"/>
      <c r="E36" s="221">
        <f>E4-E6-E34</f>
        <v>639.27139999999997</v>
      </c>
      <c r="F36" s="221">
        <f>F4-F6-F34</f>
        <v>71.209199999999996</v>
      </c>
      <c r="G36" s="222">
        <f>G4-G6-G34</f>
        <v>188.7919</v>
      </c>
      <c r="H36" s="46"/>
      <c r="I36" s="219" t="s">
        <v>111</v>
      </c>
      <c r="J36" s="220"/>
      <c r="K36" s="220"/>
      <c r="L36" s="220"/>
      <c r="M36" s="220"/>
      <c r="N36" s="221">
        <f>N4-N6-N34</f>
        <v>648.04259999999999</v>
      </c>
      <c r="O36" s="221">
        <f>O4-O6-O34</f>
        <v>179.56599999999997</v>
      </c>
      <c r="P36" s="222">
        <f>P4-P6-P34</f>
        <v>158.54899999999998</v>
      </c>
    </row>
    <row r="37" spans="1:16" s="7" customFormat="1" x14ac:dyDescent="0.25">
      <c r="E37" s="153"/>
      <c r="F37" s="154"/>
      <c r="G37" s="155"/>
      <c r="H37" s="46"/>
      <c r="N37" s="197"/>
      <c r="O37" s="198"/>
      <c r="P37" s="199"/>
    </row>
    <row r="38" spans="1:16" s="8" customFormat="1" ht="29.25" customHeight="1" thickBot="1" x14ac:dyDescent="0.3">
      <c r="A38" s="8" t="s">
        <v>122</v>
      </c>
      <c r="B38" s="295" t="s">
        <v>123</v>
      </c>
      <c r="C38" s="295"/>
      <c r="D38" s="296"/>
      <c r="E38" s="50">
        <f>E3-E33-(37.4+22.5+3.16+1.8+1.9)</f>
        <v>87.999999999999986</v>
      </c>
      <c r="F38" s="156"/>
      <c r="G38" s="52">
        <f>G3-G33</f>
        <v>35.230000000000004</v>
      </c>
      <c r="H38" s="45"/>
      <c r="I38" s="8" t="s">
        <v>122</v>
      </c>
      <c r="J38" s="295" t="s">
        <v>123</v>
      </c>
      <c r="K38" s="295"/>
      <c r="L38" s="295"/>
      <c r="M38" s="296"/>
      <c r="N38" s="50">
        <f>N3-N33-(37.4+22.27+3.16+1.8+1.9)</f>
        <v>98.28</v>
      </c>
      <c r="O38" s="156"/>
      <c r="P38" s="52">
        <f>1.8*2</f>
        <v>3.6</v>
      </c>
    </row>
  </sheetData>
  <mergeCells count="4">
    <mergeCell ref="E1:G1"/>
    <mergeCell ref="N1:P1"/>
    <mergeCell ref="B38:D38"/>
    <mergeCell ref="J38:M38"/>
  </mergeCells>
  <pageMargins left="0.25" right="0.25" top="0.75" bottom="0.89583333333333337" header="0.3" footer="0.3"/>
  <pageSetup paperSize="8" scale="86" orientation="landscape" r:id="rId1"/>
  <headerFooter>
    <oddFooter>&amp;CEng. Civil Daniele Firme Miranda
CREA nº 24965/D-DF
ART nº 0720200047165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93907-1065-48C3-9FBD-4567B5C0D2DE}">
  <dimension ref="A1:I40"/>
  <sheetViews>
    <sheetView view="pageLayout" topLeftCell="A60" zoomScaleNormal="100" workbookViewId="0">
      <selection activeCell="E34" sqref="E34"/>
    </sheetView>
  </sheetViews>
  <sheetFormatPr defaultRowHeight="15" x14ac:dyDescent="0.25"/>
  <cols>
    <col min="2" max="2" width="34.5703125" bestFit="1" customWidth="1"/>
    <col min="3" max="3" width="9.7109375" style="77" bestFit="1" customWidth="1"/>
    <col min="4" max="4" width="10.5703125" bestFit="1" customWidth="1"/>
    <col min="5" max="5" width="9.140625" style="77"/>
    <col min="8" max="8" width="33" bestFit="1" customWidth="1"/>
  </cols>
  <sheetData>
    <row r="1" spans="1:9" x14ac:dyDescent="0.25">
      <c r="A1" s="87" t="s">
        <v>217</v>
      </c>
      <c r="B1" s="87" t="s">
        <v>218</v>
      </c>
      <c r="C1" s="90" t="s">
        <v>208</v>
      </c>
      <c r="D1" s="87"/>
      <c r="E1" s="87"/>
      <c r="G1">
        <v>87265</v>
      </c>
      <c r="H1" t="s">
        <v>253</v>
      </c>
      <c r="I1" s="93">
        <f>SUMIF(A:A,G1,E:E)</f>
        <v>94.743599999999986</v>
      </c>
    </row>
    <row r="2" spans="1:9" x14ac:dyDescent="0.25">
      <c r="A2" s="88"/>
      <c r="B2" s="89" t="s">
        <v>207</v>
      </c>
      <c r="C2" s="91" t="s">
        <v>206</v>
      </c>
      <c r="D2" s="89" t="s">
        <v>29</v>
      </c>
      <c r="E2" s="89" t="s">
        <v>30</v>
      </c>
      <c r="G2">
        <v>87267</v>
      </c>
      <c r="H2" t="s">
        <v>254</v>
      </c>
      <c r="I2" t="s">
        <v>278</v>
      </c>
    </row>
    <row r="3" spans="1:9" x14ac:dyDescent="0.25">
      <c r="A3">
        <v>87879</v>
      </c>
      <c r="B3" t="s">
        <v>209</v>
      </c>
      <c r="C3" s="77" t="s">
        <v>210</v>
      </c>
      <c r="D3" s="77" t="s">
        <v>215</v>
      </c>
      <c r="E3" s="92">
        <f>'Cálculo Rev. Parede'!W40</f>
        <v>2480.0626999999999</v>
      </c>
      <c r="G3">
        <v>87905</v>
      </c>
      <c r="H3" t="s">
        <v>227</v>
      </c>
      <c r="I3" s="93">
        <f t="shared" ref="I3:I12" si="0">SUMIF(A:A,G3,E:E)</f>
        <v>509.17699999999996</v>
      </c>
    </row>
    <row r="4" spans="1:9" x14ac:dyDescent="0.25">
      <c r="A4">
        <v>89173</v>
      </c>
      <c r="B4" t="s">
        <v>211</v>
      </c>
      <c r="C4" s="77" t="s">
        <v>214</v>
      </c>
      <c r="D4" s="77" t="s">
        <v>215</v>
      </c>
      <c r="E4" s="92">
        <f>'Cálculo Rev. Parede'!W40</f>
        <v>2480.0626999999999</v>
      </c>
      <c r="G4">
        <v>87879</v>
      </c>
      <c r="H4" t="s">
        <v>209</v>
      </c>
      <c r="I4" s="93">
        <f t="shared" si="0"/>
        <v>2953.3546999999999</v>
      </c>
    </row>
    <row r="5" spans="1:9" x14ac:dyDescent="0.25">
      <c r="A5">
        <v>88497</v>
      </c>
      <c r="B5" t="s">
        <v>212</v>
      </c>
      <c r="C5" s="77" t="s">
        <v>210</v>
      </c>
      <c r="D5" s="77" t="s">
        <v>216</v>
      </c>
      <c r="E5" s="92">
        <f>'Cálculo Rev. Parede'!Q40</f>
        <v>1945.4394499999999</v>
      </c>
      <c r="G5">
        <v>87531</v>
      </c>
      <c r="H5" t="s">
        <v>232</v>
      </c>
      <c r="I5" s="93">
        <f t="shared" si="0"/>
        <v>116.81039999999999</v>
      </c>
    </row>
    <row r="6" spans="1:9" x14ac:dyDescent="0.25">
      <c r="A6">
        <v>88485</v>
      </c>
      <c r="B6" t="s">
        <v>219</v>
      </c>
      <c r="C6" s="77" t="s">
        <v>213</v>
      </c>
      <c r="D6" s="77" t="s">
        <v>216</v>
      </c>
      <c r="E6" s="92">
        <f>'Cálculo Rev. Parede'!Q40</f>
        <v>1945.4394499999999</v>
      </c>
      <c r="G6">
        <v>88495</v>
      </c>
      <c r="H6" t="s">
        <v>224</v>
      </c>
      <c r="I6" s="93">
        <f t="shared" si="0"/>
        <v>406.99799999999999</v>
      </c>
    </row>
    <row r="7" spans="1:9" x14ac:dyDescent="0.25">
      <c r="A7">
        <v>88489</v>
      </c>
      <c r="B7" t="s">
        <v>220</v>
      </c>
      <c r="C7" s="77" t="s">
        <v>213</v>
      </c>
      <c r="D7" s="77" t="s">
        <v>216</v>
      </c>
      <c r="E7" s="92">
        <f>'Cálculo Rev. Parede'!Q40</f>
        <v>1945.4394499999999</v>
      </c>
      <c r="G7">
        <v>88497</v>
      </c>
      <c r="H7" t="s">
        <v>212</v>
      </c>
      <c r="I7" s="93">
        <f t="shared" si="0"/>
        <v>2044.12745</v>
      </c>
    </row>
    <row r="8" spans="1:9" x14ac:dyDescent="0.25">
      <c r="G8">
        <v>87775</v>
      </c>
      <c r="H8" t="s">
        <v>229</v>
      </c>
      <c r="I8" s="93">
        <f t="shared" si="0"/>
        <v>509.17699999999996</v>
      </c>
    </row>
    <row r="9" spans="1:9" x14ac:dyDescent="0.25">
      <c r="A9" s="87" t="s">
        <v>221</v>
      </c>
      <c r="B9" s="87" t="s">
        <v>222</v>
      </c>
      <c r="C9" s="90"/>
      <c r="D9" s="87"/>
      <c r="E9" s="87"/>
      <c r="G9">
        <v>89173</v>
      </c>
      <c r="H9" t="s">
        <v>211</v>
      </c>
      <c r="I9" s="93">
        <f t="shared" si="0"/>
        <v>2578.7507000000001</v>
      </c>
    </row>
    <row r="10" spans="1:9" x14ac:dyDescent="0.25">
      <c r="A10" s="88"/>
      <c r="B10" s="89" t="s">
        <v>207</v>
      </c>
      <c r="C10" s="91" t="s">
        <v>206</v>
      </c>
      <c r="D10" s="89" t="s">
        <v>29</v>
      </c>
      <c r="E10" s="89" t="s">
        <v>30</v>
      </c>
      <c r="G10">
        <v>88489</v>
      </c>
      <c r="H10" t="s">
        <v>220</v>
      </c>
      <c r="I10" s="93">
        <f t="shared" si="0"/>
        <v>2451.12545</v>
      </c>
    </row>
    <row r="11" spans="1:9" x14ac:dyDescent="0.25">
      <c r="A11">
        <v>88495</v>
      </c>
      <c r="B11" t="s">
        <v>224</v>
      </c>
      <c r="C11" s="77" t="s">
        <v>223</v>
      </c>
      <c r="D11" s="77" t="s">
        <v>216</v>
      </c>
      <c r="E11" s="92">
        <f>'Cálculo Rev. Parede'!R40</f>
        <v>406.99799999999999</v>
      </c>
      <c r="G11" s="77" t="s">
        <v>288</v>
      </c>
      <c r="H11" t="s">
        <v>289</v>
      </c>
      <c r="I11" s="93">
        <f t="shared" si="0"/>
        <v>509.17699999999996</v>
      </c>
    </row>
    <row r="12" spans="1:9" x14ac:dyDescent="0.25">
      <c r="A12">
        <v>88485</v>
      </c>
      <c r="B12" t="s">
        <v>219</v>
      </c>
      <c r="C12" s="77" t="s">
        <v>213</v>
      </c>
      <c r="D12" s="77" t="s">
        <v>216</v>
      </c>
      <c r="E12" s="92">
        <f>'Cálculo Rev. Parede'!R40</f>
        <v>406.99799999999999</v>
      </c>
      <c r="G12">
        <v>88485</v>
      </c>
      <c r="H12" t="s">
        <v>219</v>
      </c>
      <c r="I12" s="93">
        <f t="shared" si="0"/>
        <v>2960.3024500000001</v>
      </c>
    </row>
    <row r="13" spans="1:9" x14ac:dyDescent="0.25">
      <c r="A13">
        <v>88489</v>
      </c>
      <c r="B13" t="s">
        <v>220</v>
      </c>
      <c r="C13" s="77" t="s">
        <v>213</v>
      </c>
      <c r="D13" s="77" t="s">
        <v>216</v>
      </c>
      <c r="E13" s="92">
        <f>'Cálculo Rev. Parede'!R40</f>
        <v>406.99799999999999</v>
      </c>
    </row>
    <row r="15" spans="1:9" x14ac:dyDescent="0.25">
      <c r="A15" s="87" t="s">
        <v>225</v>
      </c>
      <c r="B15" s="87" t="s">
        <v>226</v>
      </c>
      <c r="C15" s="90" t="s">
        <v>208</v>
      </c>
      <c r="D15" s="87"/>
      <c r="E15" s="87"/>
    </row>
    <row r="16" spans="1:9" x14ac:dyDescent="0.25">
      <c r="A16" s="88"/>
      <c r="B16" s="89" t="s">
        <v>207</v>
      </c>
      <c r="C16" s="91" t="s">
        <v>206</v>
      </c>
      <c r="D16" s="89" t="s">
        <v>29</v>
      </c>
      <c r="E16" s="89" t="s">
        <v>30</v>
      </c>
    </row>
    <row r="17" spans="1:5" x14ac:dyDescent="0.25">
      <c r="A17">
        <v>87905</v>
      </c>
      <c r="B17" t="s">
        <v>227</v>
      </c>
      <c r="C17" s="77" t="s">
        <v>210</v>
      </c>
      <c r="D17" s="77" t="s">
        <v>215</v>
      </c>
      <c r="E17" s="92">
        <f>'Cálculo Rev. Parede'!Y40</f>
        <v>509.17699999999996</v>
      </c>
    </row>
    <row r="18" spans="1:5" x14ac:dyDescent="0.25">
      <c r="A18">
        <v>87775</v>
      </c>
      <c r="B18" t="s">
        <v>229</v>
      </c>
      <c r="C18" s="77" t="s">
        <v>228</v>
      </c>
      <c r="D18" s="77" t="s">
        <v>215</v>
      </c>
      <c r="E18" s="92">
        <f>'Cálculo Rev. Parede'!Y40</f>
        <v>509.17699999999996</v>
      </c>
    </row>
    <row r="19" spans="1:5" x14ac:dyDescent="0.25">
      <c r="A19">
        <v>88485</v>
      </c>
      <c r="B19" t="s">
        <v>219</v>
      </c>
      <c r="C19" s="77" t="s">
        <v>213</v>
      </c>
      <c r="D19" s="77" t="s">
        <v>215</v>
      </c>
      <c r="E19" s="92">
        <f>'Cálculo Rev. Parede'!Y40</f>
        <v>509.17699999999996</v>
      </c>
    </row>
    <row r="20" spans="1:5" x14ac:dyDescent="0.25">
      <c r="A20" t="s">
        <v>288</v>
      </c>
      <c r="B20" t="s">
        <v>289</v>
      </c>
      <c r="C20" s="77" t="s">
        <v>213</v>
      </c>
      <c r="D20" s="77" t="s">
        <v>215</v>
      </c>
      <c r="E20" s="92">
        <f>'Cálculo Rev. Parede'!Y40</f>
        <v>509.17699999999996</v>
      </c>
    </row>
    <row r="22" spans="1:5" x14ac:dyDescent="0.25">
      <c r="A22" s="87" t="s">
        <v>230</v>
      </c>
      <c r="B22" s="87" t="s">
        <v>231</v>
      </c>
      <c r="C22" s="90" t="s">
        <v>208</v>
      </c>
      <c r="D22" s="87"/>
      <c r="E22" s="87"/>
    </row>
    <row r="23" spans="1:5" x14ac:dyDescent="0.25">
      <c r="A23" s="88"/>
      <c r="B23" s="89" t="s">
        <v>207</v>
      </c>
      <c r="C23" s="91" t="s">
        <v>206</v>
      </c>
      <c r="D23" s="89" t="s">
        <v>29</v>
      </c>
      <c r="E23" s="89" t="s">
        <v>30</v>
      </c>
    </row>
    <row r="24" spans="1:5" x14ac:dyDescent="0.25">
      <c r="A24">
        <v>87879</v>
      </c>
      <c r="B24" t="s">
        <v>209</v>
      </c>
      <c r="C24" s="77" t="s">
        <v>210</v>
      </c>
      <c r="D24" s="77" t="s">
        <v>215</v>
      </c>
      <c r="E24" s="92">
        <f>'Cálculo Rev. Parede'!Z40</f>
        <v>257.79359999999997</v>
      </c>
    </row>
    <row r="25" spans="1:5" x14ac:dyDescent="0.25">
      <c r="A25">
        <v>87531</v>
      </c>
      <c r="B25" t="s">
        <v>232</v>
      </c>
      <c r="C25" s="77" t="s">
        <v>214</v>
      </c>
      <c r="D25" s="78" t="s">
        <v>234</v>
      </c>
      <c r="E25" s="92"/>
    </row>
    <row r="26" spans="1:5" x14ac:dyDescent="0.25">
      <c r="A26">
        <v>87267</v>
      </c>
      <c r="B26" t="s">
        <v>254</v>
      </c>
      <c r="C26" s="77" t="s">
        <v>210</v>
      </c>
      <c r="D26" s="78" t="s">
        <v>234</v>
      </c>
      <c r="E26" s="92"/>
    </row>
    <row r="27" spans="1:5" x14ac:dyDescent="0.25">
      <c r="D27" s="77"/>
      <c r="E27" s="92"/>
    </row>
    <row r="28" spans="1:5" x14ac:dyDescent="0.25">
      <c r="A28" s="87" t="s">
        <v>235</v>
      </c>
      <c r="B28" s="87" t="s">
        <v>236</v>
      </c>
      <c r="C28" s="90" t="s">
        <v>208</v>
      </c>
      <c r="D28" s="87"/>
      <c r="E28" s="87"/>
    </row>
    <row r="29" spans="1:5" x14ac:dyDescent="0.25">
      <c r="A29" s="88"/>
      <c r="B29" s="89" t="s">
        <v>207</v>
      </c>
      <c r="C29" s="91" t="s">
        <v>206</v>
      </c>
      <c r="D29" s="89" t="s">
        <v>29</v>
      </c>
      <c r="E29" s="89" t="s">
        <v>30</v>
      </c>
    </row>
    <row r="30" spans="1:5" x14ac:dyDescent="0.25">
      <c r="A30">
        <v>87879</v>
      </c>
      <c r="B30" t="s">
        <v>209</v>
      </c>
      <c r="C30" s="77" t="s">
        <v>210</v>
      </c>
      <c r="D30" s="77" t="s">
        <v>215</v>
      </c>
      <c r="E30" s="92">
        <f>'Cálculo Rev. Parede'!AA40</f>
        <v>116.81039999999999</v>
      </c>
    </row>
    <row r="31" spans="1:5" x14ac:dyDescent="0.25">
      <c r="A31">
        <v>87531</v>
      </c>
      <c r="B31" t="s">
        <v>232</v>
      </c>
      <c r="C31" s="77" t="s">
        <v>214</v>
      </c>
      <c r="D31" s="77" t="s">
        <v>215</v>
      </c>
      <c r="E31" s="92">
        <f>'Cálculo Rev. Parede'!AA40</f>
        <v>116.81039999999999</v>
      </c>
    </row>
    <row r="32" spans="1:5" x14ac:dyDescent="0.25">
      <c r="A32">
        <v>87265</v>
      </c>
      <c r="B32" t="s">
        <v>253</v>
      </c>
      <c r="C32" s="77" t="s">
        <v>210</v>
      </c>
      <c r="D32" s="77" t="s">
        <v>216</v>
      </c>
      <c r="E32" s="92">
        <f>'Cálculo Rev. Parede'!U40</f>
        <v>94.743599999999986</v>
      </c>
    </row>
    <row r="33" spans="1:5" x14ac:dyDescent="0.25">
      <c r="D33" s="77"/>
      <c r="E33" s="92"/>
    </row>
    <row r="34" spans="1:5" x14ac:dyDescent="0.25">
      <c r="A34" s="87" t="s">
        <v>494</v>
      </c>
      <c r="B34" s="87" t="s">
        <v>495</v>
      </c>
      <c r="C34" s="90" t="s">
        <v>208</v>
      </c>
      <c r="D34" s="87"/>
      <c r="E34" s="87"/>
    </row>
    <row r="35" spans="1:5" x14ac:dyDescent="0.25">
      <c r="A35" s="88"/>
      <c r="B35" s="89" t="s">
        <v>207</v>
      </c>
      <c r="C35" s="91" t="s">
        <v>206</v>
      </c>
      <c r="D35" s="89" t="s">
        <v>29</v>
      </c>
      <c r="E35" s="89" t="s">
        <v>30</v>
      </c>
    </row>
    <row r="36" spans="1:5" x14ac:dyDescent="0.25">
      <c r="A36">
        <v>87879</v>
      </c>
      <c r="B36" t="s">
        <v>209</v>
      </c>
      <c r="C36" s="77" t="s">
        <v>210</v>
      </c>
      <c r="D36" s="77" t="s">
        <v>215</v>
      </c>
      <c r="E36" s="92">
        <f>2*Quantitativos!J345-Quantitativos!J320</f>
        <v>98.688000000000002</v>
      </c>
    </row>
    <row r="37" spans="1:5" x14ac:dyDescent="0.25">
      <c r="A37">
        <v>89173</v>
      </c>
      <c r="B37" t="s">
        <v>211</v>
      </c>
      <c r="C37" s="77" t="s">
        <v>214</v>
      </c>
      <c r="D37" s="77" t="s">
        <v>215</v>
      </c>
      <c r="E37" s="92">
        <f>E36</f>
        <v>98.688000000000002</v>
      </c>
    </row>
    <row r="38" spans="1:5" x14ac:dyDescent="0.25">
      <c r="A38">
        <v>88497</v>
      </c>
      <c r="B38" t="s">
        <v>212</v>
      </c>
      <c r="C38" s="77" t="s">
        <v>210</v>
      </c>
      <c r="D38" s="77" t="s">
        <v>216</v>
      </c>
      <c r="E38" s="92">
        <f>E37</f>
        <v>98.688000000000002</v>
      </c>
    </row>
    <row r="39" spans="1:5" x14ac:dyDescent="0.25">
      <c r="A39">
        <v>88485</v>
      </c>
      <c r="B39" t="s">
        <v>219</v>
      </c>
      <c r="C39" s="77" t="s">
        <v>213</v>
      </c>
      <c r="D39" s="77" t="s">
        <v>216</v>
      </c>
      <c r="E39" s="92">
        <f>E38</f>
        <v>98.688000000000002</v>
      </c>
    </row>
    <row r="40" spans="1:5" x14ac:dyDescent="0.25">
      <c r="A40">
        <v>88489</v>
      </c>
      <c r="B40" t="s">
        <v>220</v>
      </c>
      <c r="C40" s="77" t="s">
        <v>213</v>
      </c>
      <c r="D40" s="77" t="s">
        <v>216</v>
      </c>
      <c r="E40" s="92">
        <f>E39</f>
        <v>98.688000000000002</v>
      </c>
    </row>
  </sheetData>
  <sortState xmlns:xlrd2="http://schemas.microsoft.com/office/spreadsheetml/2017/richdata2" ref="G3:I33">
    <sortCondition ref="H3:H33"/>
  </sortState>
  <pageMargins left="0.25" right="0.25" top="0.75" bottom="0.75" header="0.3" footer="0.3"/>
  <pageSetup paperSize="9" scale="74" orientation="portrait" r:id="rId1"/>
  <headerFooter>
    <oddFooter>&amp;CEng. Civil Daniele Firme Miranda
CREA nº 24965/D-DF
ART nº 0720200047165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4D04E-F0A7-49B1-8151-79921A3D6685}">
  <dimension ref="A1:G84"/>
  <sheetViews>
    <sheetView view="pageLayout" topLeftCell="A55" zoomScaleNormal="100" workbookViewId="0">
      <selection activeCell="E34" sqref="E34"/>
    </sheetView>
  </sheetViews>
  <sheetFormatPr defaultRowHeight="15" x14ac:dyDescent="0.25"/>
  <cols>
    <col min="2" max="2" width="34.5703125" bestFit="1" customWidth="1"/>
    <col min="3" max="3" width="9.7109375" style="77" bestFit="1" customWidth="1"/>
    <col min="4" max="4" width="9.140625" style="77"/>
    <col min="6" max="6" width="33" style="135" bestFit="1" customWidth="1"/>
    <col min="7" max="7" width="9.140625" style="135"/>
  </cols>
  <sheetData>
    <row r="1" spans="1:7" x14ac:dyDescent="0.25">
      <c r="A1" s="87" t="s">
        <v>786</v>
      </c>
      <c r="B1" s="87" t="s">
        <v>793</v>
      </c>
      <c r="C1" s="90" t="s">
        <v>794</v>
      </c>
      <c r="D1" s="87">
        <v>308.5</v>
      </c>
      <c r="F1" s="135" t="s">
        <v>802</v>
      </c>
      <c r="G1" s="136">
        <f t="shared" ref="G1:G10" si="0">SUMIF(B:B,F1,D:D)</f>
        <v>241.26</v>
      </c>
    </row>
    <row r="2" spans="1:7" x14ac:dyDescent="0.25">
      <c r="A2" s="88"/>
      <c r="B2" s="89" t="s">
        <v>207</v>
      </c>
      <c r="C2" s="91" t="s">
        <v>206</v>
      </c>
      <c r="D2" s="89" t="s">
        <v>30</v>
      </c>
      <c r="F2" s="135" t="s">
        <v>791</v>
      </c>
      <c r="G2" s="136">
        <f t="shared" si="0"/>
        <v>40.150000000000006</v>
      </c>
    </row>
    <row r="3" spans="1:7" x14ac:dyDescent="0.25">
      <c r="B3" t="s">
        <v>787</v>
      </c>
      <c r="C3" s="77">
        <v>100</v>
      </c>
      <c r="D3" s="92">
        <v>308.5</v>
      </c>
      <c r="F3" s="135" t="s">
        <v>790</v>
      </c>
      <c r="G3" s="136">
        <f t="shared" si="0"/>
        <v>40.150000000000006</v>
      </c>
    </row>
    <row r="4" spans="1:7" x14ac:dyDescent="0.25">
      <c r="B4" t="s">
        <v>788</v>
      </c>
      <c r="C4" s="77">
        <v>0</v>
      </c>
      <c r="D4" s="92">
        <v>308.5</v>
      </c>
      <c r="F4" s="135" t="s">
        <v>335</v>
      </c>
      <c r="G4" s="136">
        <f t="shared" si="0"/>
        <v>40.150000000000006</v>
      </c>
    </row>
    <row r="5" spans="1:7" x14ac:dyDescent="0.25">
      <c r="B5" t="s">
        <v>789</v>
      </c>
      <c r="C5" s="77">
        <v>100</v>
      </c>
      <c r="D5" s="92">
        <v>308.5</v>
      </c>
      <c r="F5" s="135" t="s">
        <v>787</v>
      </c>
      <c r="G5" s="136">
        <f t="shared" si="0"/>
        <v>625.73</v>
      </c>
    </row>
    <row r="6" spans="1:7" x14ac:dyDescent="0.25">
      <c r="B6" t="s">
        <v>809</v>
      </c>
      <c r="C6" s="77">
        <v>20</v>
      </c>
      <c r="D6" s="92">
        <v>308.5</v>
      </c>
      <c r="F6" s="135" t="s">
        <v>788</v>
      </c>
      <c r="G6" s="136">
        <f t="shared" si="0"/>
        <v>625.73</v>
      </c>
    </row>
    <row r="7" spans="1:7" x14ac:dyDescent="0.25">
      <c r="B7" t="s">
        <v>805</v>
      </c>
      <c r="C7" s="77">
        <v>2</v>
      </c>
      <c r="D7" s="92">
        <v>308.5</v>
      </c>
      <c r="F7" s="135" t="s">
        <v>805</v>
      </c>
      <c r="G7" s="136">
        <f t="shared" si="0"/>
        <v>818.95</v>
      </c>
    </row>
    <row r="8" spans="1:7" x14ac:dyDescent="0.25">
      <c r="D8" s="92"/>
      <c r="F8" s="135" t="s">
        <v>806</v>
      </c>
      <c r="G8" s="136">
        <f t="shared" si="0"/>
        <v>297.2</v>
      </c>
    </row>
    <row r="9" spans="1:7" x14ac:dyDescent="0.25">
      <c r="A9" s="87" t="s">
        <v>795</v>
      </c>
      <c r="B9" s="87" t="s">
        <v>796</v>
      </c>
      <c r="C9" s="90" t="s">
        <v>794</v>
      </c>
      <c r="D9" s="87">
        <v>297.2</v>
      </c>
      <c r="F9" s="135" t="s">
        <v>801</v>
      </c>
      <c r="G9" s="136">
        <f t="shared" si="0"/>
        <v>149.96</v>
      </c>
    </row>
    <row r="10" spans="1:7" x14ac:dyDescent="0.25">
      <c r="A10" s="88"/>
      <c r="B10" s="89" t="s">
        <v>207</v>
      </c>
      <c r="C10" s="91" t="s">
        <v>206</v>
      </c>
      <c r="D10" s="89" t="s">
        <v>30</v>
      </c>
      <c r="F10" s="135" t="s">
        <v>789</v>
      </c>
      <c r="G10" s="136">
        <f t="shared" si="0"/>
        <v>625.73</v>
      </c>
    </row>
    <row r="11" spans="1:7" x14ac:dyDescent="0.25">
      <c r="B11" t="s">
        <v>787</v>
      </c>
      <c r="C11" s="77">
        <v>100</v>
      </c>
      <c r="D11" s="92">
        <v>297.2</v>
      </c>
      <c r="F11" s="135" t="s">
        <v>808</v>
      </c>
      <c r="G11" s="136">
        <f>G5</f>
        <v>625.73</v>
      </c>
    </row>
    <row r="12" spans="1:7" x14ac:dyDescent="0.25">
      <c r="B12" t="s">
        <v>788</v>
      </c>
      <c r="C12" s="77">
        <v>0</v>
      </c>
      <c r="D12" s="92">
        <v>297.2</v>
      </c>
      <c r="F12" s="135" t="s">
        <v>809</v>
      </c>
      <c r="G12" s="136">
        <f>SUMIF(B:B,F12,D:D)</f>
        <v>1116.1500000000001</v>
      </c>
    </row>
    <row r="13" spans="1:7" x14ac:dyDescent="0.25">
      <c r="B13" t="s">
        <v>789</v>
      </c>
      <c r="C13" s="77">
        <v>100</v>
      </c>
      <c r="D13" s="92">
        <v>297.2</v>
      </c>
    </row>
    <row r="14" spans="1:7" x14ac:dyDescent="0.25">
      <c r="B14" t="s">
        <v>809</v>
      </c>
      <c r="C14" s="77">
        <v>20</v>
      </c>
      <c r="D14" s="92">
        <v>297.2</v>
      </c>
    </row>
    <row r="15" spans="1:7" x14ac:dyDescent="0.25">
      <c r="B15" t="s">
        <v>806</v>
      </c>
      <c r="C15" s="77">
        <v>2</v>
      </c>
      <c r="D15" s="92">
        <v>297.2</v>
      </c>
    </row>
    <row r="16" spans="1:7" x14ac:dyDescent="0.25">
      <c r="D16" s="92"/>
    </row>
    <row r="17" spans="1:4" x14ac:dyDescent="0.25">
      <c r="A17" s="87" t="s">
        <v>797</v>
      </c>
      <c r="B17" s="87" t="s">
        <v>798</v>
      </c>
      <c r="C17" s="90" t="s">
        <v>792</v>
      </c>
      <c r="D17" s="87">
        <v>20.03</v>
      </c>
    </row>
    <row r="18" spans="1:4" x14ac:dyDescent="0.25">
      <c r="A18" s="88"/>
      <c r="B18" s="89" t="s">
        <v>207</v>
      </c>
      <c r="C18" s="91" t="s">
        <v>206</v>
      </c>
      <c r="D18" s="89" t="s">
        <v>30</v>
      </c>
    </row>
    <row r="19" spans="1:4" x14ac:dyDescent="0.25">
      <c r="B19" t="s">
        <v>787</v>
      </c>
      <c r="C19" s="77">
        <v>100</v>
      </c>
      <c r="D19" s="92">
        <v>20.03</v>
      </c>
    </row>
    <row r="20" spans="1:4" x14ac:dyDescent="0.25">
      <c r="B20" t="s">
        <v>788</v>
      </c>
      <c r="C20" s="77">
        <v>0</v>
      </c>
      <c r="D20" s="92">
        <v>20.03</v>
      </c>
    </row>
    <row r="21" spans="1:4" x14ac:dyDescent="0.25">
      <c r="B21" t="s">
        <v>789</v>
      </c>
      <c r="C21" s="77">
        <v>100</v>
      </c>
      <c r="D21" s="92">
        <v>20.03</v>
      </c>
    </row>
    <row r="22" spans="1:4" x14ac:dyDescent="0.25">
      <c r="B22" t="s">
        <v>790</v>
      </c>
      <c r="C22" s="77">
        <v>20</v>
      </c>
      <c r="D22" s="92">
        <v>20.03</v>
      </c>
    </row>
    <row r="23" spans="1:4" x14ac:dyDescent="0.25">
      <c r="B23" t="s">
        <v>791</v>
      </c>
      <c r="C23" s="77">
        <v>20</v>
      </c>
      <c r="D23" s="92">
        <v>20.03</v>
      </c>
    </row>
    <row r="24" spans="1:4" x14ac:dyDescent="0.25">
      <c r="B24" t="s">
        <v>335</v>
      </c>
      <c r="C24" s="77">
        <v>20</v>
      </c>
      <c r="D24" s="92">
        <v>20.03</v>
      </c>
    </row>
    <row r="25" spans="1:4" x14ac:dyDescent="0.25">
      <c r="D25" s="92"/>
    </row>
    <row r="26" spans="1:4" x14ac:dyDescent="0.25">
      <c r="A26" s="87" t="s">
        <v>799</v>
      </c>
      <c r="B26" s="87" t="s">
        <v>800</v>
      </c>
      <c r="C26" s="90"/>
      <c r="D26" s="87" t="s">
        <v>825</v>
      </c>
    </row>
    <row r="27" spans="1:4" x14ac:dyDescent="0.25">
      <c r="A27" s="88"/>
      <c r="B27" s="89" t="s">
        <v>207</v>
      </c>
      <c r="C27" s="91" t="s">
        <v>206</v>
      </c>
      <c r="D27" s="89" t="s">
        <v>30</v>
      </c>
    </row>
    <row r="28" spans="1:4" x14ac:dyDescent="0.25">
      <c r="B28" t="s">
        <v>801</v>
      </c>
      <c r="C28" s="77">
        <v>70</v>
      </c>
      <c r="D28" s="92">
        <f>44.9+60.16+44.9</f>
        <v>149.96</v>
      </c>
    </row>
    <row r="29" spans="1:4" x14ac:dyDescent="0.25">
      <c r="B29" t="s">
        <v>802</v>
      </c>
      <c r="C29" s="77">
        <v>30</v>
      </c>
      <c r="D29" s="92">
        <f>D28+40.5+50.8</f>
        <v>241.26</v>
      </c>
    </row>
    <row r="30" spans="1:4" x14ac:dyDescent="0.25">
      <c r="D30" s="92"/>
    </row>
    <row r="31" spans="1:4" x14ac:dyDescent="0.25">
      <c r="A31" s="87" t="s">
        <v>786</v>
      </c>
      <c r="B31" s="87" t="s">
        <v>803</v>
      </c>
      <c r="C31" s="90">
        <v>22</v>
      </c>
      <c r="D31" s="87">
        <f>535.1-24.65</f>
        <v>510.45000000000005</v>
      </c>
    </row>
    <row r="32" spans="1:4" x14ac:dyDescent="0.25">
      <c r="A32" s="88"/>
      <c r="B32" s="89" t="s">
        <v>207</v>
      </c>
      <c r="C32" s="91" t="s">
        <v>206</v>
      </c>
      <c r="D32" s="89" t="s">
        <v>30</v>
      </c>
    </row>
    <row r="33" spans="1:4" x14ac:dyDescent="0.25">
      <c r="B33" t="s">
        <v>809</v>
      </c>
      <c r="C33" s="77">
        <v>20</v>
      </c>
      <c r="D33" s="92">
        <f>D31</f>
        <v>510.45000000000005</v>
      </c>
    </row>
    <row r="34" spans="1:4" x14ac:dyDescent="0.25">
      <c r="B34" t="s">
        <v>805</v>
      </c>
      <c r="C34" s="77">
        <v>2</v>
      </c>
      <c r="D34" s="92">
        <f>D31</f>
        <v>510.45000000000005</v>
      </c>
    </row>
    <row r="35" spans="1:4" x14ac:dyDescent="0.25">
      <c r="D35" s="92"/>
    </row>
    <row r="36" spans="1:4" x14ac:dyDescent="0.25">
      <c r="A36" s="87" t="s">
        <v>795</v>
      </c>
      <c r="B36" s="87" t="s">
        <v>804</v>
      </c>
      <c r="C36" s="90" t="s">
        <v>794</v>
      </c>
      <c r="D36" s="87">
        <v>0</v>
      </c>
    </row>
    <row r="37" spans="1:4" x14ac:dyDescent="0.25">
      <c r="A37" s="88"/>
      <c r="B37" s="89" t="s">
        <v>207</v>
      </c>
      <c r="C37" s="91" t="s">
        <v>206</v>
      </c>
      <c r="D37" s="89" t="s">
        <v>30</v>
      </c>
    </row>
    <row r="38" spans="1:4" x14ac:dyDescent="0.25">
      <c r="B38" t="s">
        <v>809</v>
      </c>
      <c r="C38" s="77">
        <v>20</v>
      </c>
      <c r="D38" s="92">
        <v>0</v>
      </c>
    </row>
    <row r="39" spans="1:4" x14ac:dyDescent="0.25">
      <c r="B39" t="s">
        <v>806</v>
      </c>
      <c r="C39" s="77">
        <v>2</v>
      </c>
      <c r="D39" s="92">
        <v>0</v>
      </c>
    </row>
    <row r="40" spans="1:4" x14ac:dyDescent="0.25">
      <c r="D40" s="92"/>
    </row>
    <row r="41" spans="1:4" x14ac:dyDescent="0.25">
      <c r="A41" s="87" t="s">
        <v>797</v>
      </c>
      <c r="B41" s="87" t="s">
        <v>807</v>
      </c>
      <c r="C41" s="90" t="s">
        <v>792</v>
      </c>
      <c r="D41" s="87">
        <v>20.12</v>
      </c>
    </row>
    <row r="42" spans="1:4" x14ac:dyDescent="0.25">
      <c r="A42" s="88"/>
      <c r="B42" s="89" t="s">
        <v>207</v>
      </c>
      <c r="C42" s="91" t="s">
        <v>206</v>
      </c>
      <c r="D42" s="89" t="s">
        <v>30</v>
      </c>
    </row>
    <row r="43" spans="1:4" x14ac:dyDescent="0.25">
      <c r="B43" t="s">
        <v>790</v>
      </c>
      <c r="C43" s="77">
        <v>20</v>
      </c>
      <c r="D43" s="92">
        <v>20.12</v>
      </c>
    </row>
    <row r="44" spans="1:4" x14ac:dyDescent="0.25">
      <c r="B44" t="s">
        <v>791</v>
      </c>
      <c r="C44" s="77">
        <v>20</v>
      </c>
      <c r="D44" s="92">
        <v>20.12</v>
      </c>
    </row>
    <row r="45" spans="1:4" x14ac:dyDescent="0.25">
      <c r="B45" t="s">
        <v>335</v>
      </c>
      <c r="C45" s="77">
        <v>20</v>
      </c>
      <c r="D45" s="92">
        <v>20.12</v>
      </c>
    </row>
    <row r="46" spans="1:4" x14ac:dyDescent="0.25">
      <c r="D46" s="92"/>
    </row>
    <row r="48" spans="1:4" x14ac:dyDescent="0.25">
      <c r="C48"/>
      <c r="D48"/>
    </row>
    <row r="49" spans="3:4" x14ac:dyDescent="0.25">
      <c r="C49"/>
      <c r="D49"/>
    </row>
    <row r="50" spans="3:4" x14ac:dyDescent="0.25">
      <c r="C50"/>
      <c r="D50"/>
    </row>
    <row r="51" spans="3:4" x14ac:dyDescent="0.25">
      <c r="C51"/>
      <c r="D51"/>
    </row>
    <row r="52" spans="3:4" x14ac:dyDescent="0.25">
      <c r="C52"/>
      <c r="D52"/>
    </row>
    <row r="53" spans="3:4" x14ac:dyDescent="0.25">
      <c r="C53"/>
      <c r="D53"/>
    </row>
    <row r="54" spans="3:4" x14ac:dyDescent="0.25">
      <c r="C54"/>
      <c r="D54"/>
    </row>
    <row r="55" spans="3:4" x14ac:dyDescent="0.25">
      <c r="C55"/>
      <c r="D55"/>
    </row>
    <row r="56" spans="3:4" x14ac:dyDescent="0.25">
      <c r="C56"/>
      <c r="D56"/>
    </row>
    <row r="57" spans="3:4" x14ac:dyDescent="0.25">
      <c r="C57"/>
      <c r="D57"/>
    </row>
    <row r="58" spans="3:4" x14ac:dyDescent="0.25">
      <c r="C58"/>
      <c r="D58"/>
    </row>
    <row r="59" spans="3:4" x14ac:dyDescent="0.25">
      <c r="C59"/>
      <c r="D59"/>
    </row>
    <row r="60" spans="3:4" x14ac:dyDescent="0.25">
      <c r="C60"/>
      <c r="D60"/>
    </row>
    <row r="61" spans="3:4" x14ac:dyDescent="0.25">
      <c r="C61"/>
      <c r="D61"/>
    </row>
    <row r="62" spans="3:4" x14ac:dyDescent="0.25">
      <c r="C62"/>
      <c r="D62"/>
    </row>
    <row r="63" spans="3:4" x14ac:dyDescent="0.25">
      <c r="C63"/>
      <c r="D63"/>
    </row>
    <row r="64" spans="3:4" x14ac:dyDescent="0.25">
      <c r="C64"/>
      <c r="D64"/>
    </row>
    <row r="65" spans="3:4" x14ac:dyDescent="0.25">
      <c r="C65"/>
      <c r="D65"/>
    </row>
    <row r="66" spans="3:4" x14ac:dyDescent="0.25">
      <c r="C66"/>
      <c r="D66"/>
    </row>
    <row r="67" spans="3:4" x14ac:dyDescent="0.25">
      <c r="C67"/>
      <c r="D67"/>
    </row>
    <row r="68" spans="3:4" x14ac:dyDescent="0.25">
      <c r="C68"/>
      <c r="D68"/>
    </row>
    <row r="69" spans="3:4" x14ac:dyDescent="0.25">
      <c r="C69"/>
      <c r="D69"/>
    </row>
    <row r="70" spans="3:4" x14ac:dyDescent="0.25">
      <c r="C70"/>
      <c r="D70"/>
    </row>
    <row r="71" spans="3:4" x14ac:dyDescent="0.25">
      <c r="C71"/>
      <c r="D71"/>
    </row>
    <row r="72" spans="3:4" x14ac:dyDescent="0.25">
      <c r="C72"/>
      <c r="D72"/>
    </row>
    <row r="73" spans="3:4" x14ac:dyDescent="0.25">
      <c r="C73"/>
      <c r="D73"/>
    </row>
    <row r="74" spans="3:4" x14ac:dyDescent="0.25">
      <c r="C74"/>
      <c r="D74"/>
    </row>
    <row r="75" spans="3:4" x14ac:dyDescent="0.25">
      <c r="C75"/>
      <c r="D75"/>
    </row>
    <row r="76" spans="3:4" x14ac:dyDescent="0.25">
      <c r="C76"/>
      <c r="D76"/>
    </row>
    <row r="77" spans="3:4" x14ac:dyDescent="0.25">
      <c r="C77"/>
      <c r="D77"/>
    </row>
    <row r="78" spans="3:4" x14ac:dyDescent="0.25">
      <c r="C78"/>
      <c r="D78"/>
    </row>
    <row r="79" spans="3:4" x14ac:dyDescent="0.25">
      <c r="C79"/>
      <c r="D79"/>
    </row>
    <row r="80" spans="3:4" x14ac:dyDescent="0.25">
      <c r="C80"/>
      <c r="D80"/>
    </row>
    <row r="81" spans="3:4" x14ac:dyDescent="0.25">
      <c r="C81"/>
      <c r="D81"/>
    </row>
    <row r="82" spans="3:4" x14ac:dyDescent="0.25">
      <c r="C82"/>
      <c r="D82"/>
    </row>
    <row r="83" spans="3:4" x14ac:dyDescent="0.25">
      <c r="C83"/>
      <c r="D83"/>
    </row>
    <row r="84" spans="3:4" x14ac:dyDescent="0.25">
      <c r="C84"/>
      <c r="D84"/>
    </row>
  </sheetData>
  <sortState xmlns:xlrd2="http://schemas.microsoft.com/office/spreadsheetml/2017/richdata2" ref="F1:F98">
    <sortCondition ref="F1"/>
  </sortState>
  <pageMargins left="0.25" right="0.25" top="0.75" bottom="0.84208333333333329" header="0.3" footer="0.3"/>
  <pageSetup paperSize="9" scale="86" orientation="portrait" r:id="rId1"/>
  <headerFooter>
    <oddFooter>&amp;CEng. Civil Daniele Firme Miranda
CREA nº 24965/D-DF
ART nº 0720200047165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19B5A-5B8B-4A80-92B0-6792A2596176}">
  <dimension ref="A1:T19"/>
  <sheetViews>
    <sheetView view="pageLayout" zoomScaleNormal="85" workbookViewId="0">
      <selection activeCell="E34" sqref="E34"/>
    </sheetView>
  </sheetViews>
  <sheetFormatPr defaultRowHeight="15" x14ac:dyDescent="0.25"/>
  <cols>
    <col min="1" max="1" width="9.140625" style="7"/>
    <col min="2" max="5" width="11.7109375" style="45" customWidth="1"/>
    <col min="6" max="6" width="4" style="7" customWidth="1"/>
    <col min="7" max="11" width="10.28515625" style="7" customWidth="1"/>
    <col min="12" max="12" width="11.85546875" style="7" customWidth="1"/>
    <col min="13" max="13" width="9.140625" style="7"/>
    <col min="14" max="14" width="10.28515625" style="7" customWidth="1"/>
    <col min="15" max="16384" width="9.140625" style="7"/>
  </cols>
  <sheetData>
    <row r="1" spans="1:20" ht="30" x14ac:dyDescent="0.25">
      <c r="A1" s="101" t="s">
        <v>321</v>
      </c>
      <c r="B1" s="100" t="s">
        <v>330</v>
      </c>
      <c r="C1" s="100" t="s">
        <v>331</v>
      </c>
      <c r="D1" s="100" t="s">
        <v>332</v>
      </c>
      <c r="E1" s="100" t="s">
        <v>334</v>
      </c>
      <c r="G1" s="101" t="s">
        <v>335</v>
      </c>
      <c r="H1" s="100" t="s">
        <v>336</v>
      </c>
      <c r="I1" s="100" t="s">
        <v>334</v>
      </c>
      <c r="J1" s="100" t="s">
        <v>333</v>
      </c>
      <c r="K1" s="100" t="s">
        <v>378</v>
      </c>
      <c r="L1" s="100" t="s">
        <v>379</v>
      </c>
      <c r="M1" s="100" t="s">
        <v>380</v>
      </c>
      <c r="N1" s="100" t="s">
        <v>337</v>
      </c>
    </row>
    <row r="2" spans="1:20" x14ac:dyDescent="0.25">
      <c r="A2" s="7" t="s">
        <v>320</v>
      </c>
      <c r="B2" s="109">
        <v>1</v>
      </c>
      <c r="C2" s="109">
        <v>2.31</v>
      </c>
      <c r="D2" s="109">
        <v>1.72</v>
      </c>
      <c r="E2" s="109">
        <v>1</v>
      </c>
      <c r="G2" s="108">
        <f>B2+0.2*C2+0.1*D2</f>
        <v>1.6339999999999999</v>
      </c>
      <c r="H2" s="108">
        <f t="shared" ref="H2:H10" si="0">0.0211*B2+(2*C2*0.12)+D2*0.12</f>
        <v>0.78190000000000004</v>
      </c>
      <c r="I2" s="7">
        <f t="shared" ref="I2:I10" si="1">E2</f>
        <v>1</v>
      </c>
      <c r="J2" s="108">
        <f>0.5228*B2</f>
        <v>0.52280000000000004</v>
      </c>
      <c r="K2" s="7">
        <f t="shared" ref="K2:K10" si="2">3*E2</f>
        <v>3</v>
      </c>
      <c r="L2" s="110">
        <f t="shared" ref="L2:L10" si="3">1.4911*B2+0.299*(C2+D2)</f>
        <v>2.6960700000000002</v>
      </c>
      <c r="M2" s="110">
        <f t="shared" ref="M2:M10" si="4">0.9834*B2+0.15*(C2+D2)</f>
        <v>1.5879000000000001</v>
      </c>
      <c r="N2" s="108">
        <f>D2*0.8614</f>
        <v>1.481608</v>
      </c>
      <c r="Q2" s="42" t="s">
        <v>315</v>
      </c>
    </row>
    <row r="3" spans="1:20" x14ac:dyDescent="0.25">
      <c r="A3" s="7" t="s">
        <v>322</v>
      </c>
      <c r="B3" s="109">
        <v>1</v>
      </c>
      <c r="C3" s="109">
        <v>2.31</v>
      </c>
      <c r="D3" s="109">
        <v>1.72</v>
      </c>
      <c r="E3" s="109">
        <v>1</v>
      </c>
      <c r="G3" s="108">
        <f t="shared" ref="G3:G10" si="5">B3+0.2*C3+0.1*D3</f>
        <v>1.6339999999999999</v>
      </c>
      <c r="H3" s="108">
        <f t="shared" si="0"/>
        <v>0.78190000000000004</v>
      </c>
      <c r="I3" s="7">
        <f t="shared" si="1"/>
        <v>1</v>
      </c>
      <c r="J3" s="108">
        <f t="shared" ref="J3:J10" si="6">0.5228*B3</f>
        <v>0.52280000000000004</v>
      </c>
      <c r="K3" s="7">
        <f t="shared" si="2"/>
        <v>3</v>
      </c>
      <c r="L3" s="110">
        <f t="shared" si="3"/>
        <v>2.6960700000000002</v>
      </c>
      <c r="M3" s="110">
        <f t="shared" si="4"/>
        <v>1.5879000000000001</v>
      </c>
      <c r="N3" s="108">
        <f t="shared" ref="N3:N10" si="7">D3*0.8614</f>
        <v>1.481608</v>
      </c>
    </row>
    <row r="4" spans="1:20" x14ac:dyDescent="0.25">
      <c r="A4" s="7" t="s">
        <v>323</v>
      </c>
      <c r="B4" s="109">
        <v>0.16830000000000001</v>
      </c>
      <c r="C4" s="109">
        <v>0</v>
      </c>
      <c r="D4" s="109">
        <v>0</v>
      </c>
      <c r="E4" s="109">
        <v>0</v>
      </c>
      <c r="G4" s="108">
        <f t="shared" si="5"/>
        <v>0.16830000000000001</v>
      </c>
      <c r="H4" s="108">
        <f t="shared" si="0"/>
        <v>3.5511300000000004E-3</v>
      </c>
      <c r="I4" s="7">
        <f t="shared" si="1"/>
        <v>0</v>
      </c>
      <c r="J4" s="108">
        <f t="shared" si="6"/>
        <v>8.7987240000000008E-2</v>
      </c>
      <c r="K4" s="7">
        <f t="shared" si="2"/>
        <v>0</v>
      </c>
      <c r="L4" s="110">
        <f t="shared" si="3"/>
        <v>0.25095213</v>
      </c>
      <c r="M4" s="110">
        <f t="shared" si="4"/>
        <v>0.16550622000000001</v>
      </c>
      <c r="N4" s="108">
        <f t="shared" si="7"/>
        <v>0</v>
      </c>
    </row>
    <row r="5" spans="1:20" x14ac:dyDescent="0.25">
      <c r="A5" s="7" t="s">
        <v>324</v>
      </c>
      <c r="B5" s="109">
        <v>0.16830000000000001</v>
      </c>
      <c r="C5" s="109">
        <v>0</v>
      </c>
      <c r="D5" s="109">
        <v>0</v>
      </c>
      <c r="E5" s="109">
        <v>0</v>
      </c>
      <c r="G5" s="108">
        <f t="shared" si="5"/>
        <v>0.16830000000000001</v>
      </c>
      <c r="H5" s="108">
        <f t="shared" si="0"/>
        <v>3.5511300000000004E-3</v>
      </c>
      <c r="I5" s="7">
        <f t="shared" si="1"/>
        <v>0</v>
      </c>
      <c r="J5" s="108">
        <f t="shared" si="6"/>
        <v>8.7987240000000008E-2</v>
      </c>
      <c r="K5" s="7">
        <f t="shared" si="2"/>
        <v>0</v>
      </c>
      <c r="L5" s="110">
        <f t="shared" si="3"/>
        <v>0.25095213</v>
      </c>
      <c r="M5" s="110">
        <f t="shared" si="4"/>
        <v>0.16550622000000001</v>
      </c>
      <c r="N5" s="108">
        <f t="shared" si="7"/>
        <v>0</v>
      </c>
      <c r="Q5" s="102">
        <v>86889</v>
      </c>
      <c r="R5" s="103" t="s">
        <v>338</v>
      </c>
      <c r="S5" s="102" t="s">
        <v>339</v>
      </c>
      <c r="T5" s="104" t="s">
        <v>340</v>
      </c>
    </row>
    <row r="6" spans="1:20" x14ac:dyDescent="0.25">
      <c r="A6" s="7" t="s">
        <v>325</v>
      </c>
      <c r="B6" s="109">
        <v>1.44</v>
      </c>
      <c r="C6" s="109">
        <v>2.6</v>
      </c>
      <c r="D6" s="109">
        <v>2.56</v>
      </c>
      <c r="E6" s="109">
        <v>1</v>
      </c>
      <c r="G6" s="108">
        <f t="shared" si="5"/>
        <v>2.2160000000000002</v>
      </c>
      <c r="H6" s="108">
        <f t="shared" si="0"/>
        <v>0.96158399999999999</v>
      </c>
      <c r="I6" s="7">
        <f t="shared" si="1"/>
        <v>1</v>
      </c>
      <c r="J6" s="108">
        <f t="shared" si="6"/>
        <v>0.75283200000000006</v>
      </c>
      <c r="K6" s="7">
        <f t="shared" si="2"/>
        <v>3</v>
      </c>
      <c r="L6" s="110">
        <f t="shared" si="3"/>
        <v>3.6900240000000002</v>
      </c>
      <c r="M6" s="110">
        <f t="shared" si="4"/>
        <v>2.190096</v>
      </c>
      <c r="N6" s="108">
        <f t="shared" si="7"/>
        <v>2.205184</v>
      </c>
      <c r="Q6" s="105" t="s">
        <v>341</v>
      </c>
      <c r="R6" s="106" t="s">
        <v>342</v>
      </c>
      <c r="S6" s="105" t="s">
        <v>343</v>
      </c>
      <c r="T6" s="107" t="s">
        <v>344</v>
      </c>
    </row>
    <row r="7" spans="1:20" x14ac:dyDescent="0.25">
      <c r="A7" s="7" t="s">
        <v>326</v>
      </c>
      <c r="B7" s="109">
        <v>1.6639999999999999</v>
      </c>
      <c r="C7" s="109">
        <v>2.88</v>
      </c>
      <c r="D7" s="109">
        <v>2.88</v>
      </c>
      <c r="E7" s="109">
        <v>2</v>
      </c>
      <c r="G7" s="108">
        <f t="shared" si="5"/>
        <v>2.5279999999999996</v>
      </c>
      <c r="H7" s="108">
        <f t="shared" si="0"/>
        <v>1.0719103999999999</v>
      </c>
      <c r="I7" s="7">
        <f t="shared" si="1"/>
        <v>2</v>
      </c>
      <c r="J7" s="108">
        <f t="shared" si="6"/>
        <v>0.86993920000000002</v>
      </c>
      <c r="K7" s="7">
        <f t="shared" si="2"/>
        <v>6</v>
      </c>
      <c r="L7" s="110">
        <f t="shared" si="3"/>
        <v>4.2034304000000002</v>
      </c>
      <c r="M7" s="110">
        <f t="shared" si="4"/>
        <v>2.5003776000000002</v>
      </c>
      <c r="N7" s="108">
        <f t="shared" si="7"/>
        <v>2.4808319999999999</v>
      </c>
      <c r="Q7" s="102" t="s">
        <v>345</v>
      </c>
      <c r="R7" s="103" t="s">
        <v>346</v>
      </c>
      <c r="S7" s="102" t="s">
        <v>339</v>
      </c>
      <c r="T7" s="104" t="s">
        <v>347</v>
      </c>
    </row>
    <row r="8" spans="1:20" x14ac:dyDescent="0.25">
      <c r="A8" s="7" t="s">
        <v>327</v>
      </c>
      <c r="B8" s="109">
        <v>2.56</v>
      </c>
      <c r="C8" s="109">
        <v>4</v>
      </c>
      <c r="D8" s="109">
        <v>4</v>
      </c>
      <c r="E8" s="109">
        <v>3</v>
      </c>
      <c r="G8" s="108">
        <f t="shared" si="5"/>
        <v>3.7600000000000002</v>
      </c>
      <c r="H8" s="108">
        <f t="shared" si="0"/>
        <v>1.494016</v>
      </c>
      <c r="I8" s="7">
        <f t="shared" si="1"/>
        <v>3</v>
      </c>
      <c r="J8" s="108">
        <f t="shared" si="6"/>
        <v>1.3383680000000002</v>
      </c>
      <c r="K8" s="7">
        <f t="shared" si="2"/>
        <v>9</v>
      </c>
      <c r="L8" s="110">
        <f t="shared" si="3"/>
        <v>6.2092159999999996</v>
      </c>
      <c r="M8" s="110">
        <f t="shared" si="4"/>
        <v>3.7175039999999999</v>
      </c>
      <c r="N8" s="108">
        <f t="shared" si="7"/>
        <v>3.4456000000000002</v>
      </c>
      <c r="Q8" s="105" t="s">
        <v>348</v>
      </c>
      <c r="R8" s="106" t="s">
        <v>349</v>
      </c>
      <c r="S8" s="105" t="s">
        <v>350</v>
      </c>
      <c r="T8" s="107" t="s">
        <v>351</v>
      </c>
    </row>
    <row r="9" spans="1:20" x14ac:dyDescent="0.25">
      <c r="A9" s="7" t="s">
        <v>328</v>
      </c>
      <c r="B9" s="109">
        <v>1.8956999999999999</v>
      </c>
      <c r="C9" s="109">
        <v>3.9950000000000001</v>
      </c>
      <c r="D9" s="109">
        <v>2.395</v>
      </c>
      <c r="E9" s="109">
        <v>2</v>
      </c>
      <c r="G9" s="108">
        <f t="shared" si="5"/>
        <v>2.9342000000000001</v>
      </c>
      <c r="H9" s="108">
        <f t="shared" si="0"/>
        <v>1.28619927</v>
      </c>
      <c r="I9" s="7">
        <f t="shared" si="1"/>
        <v>2</v>
      </c>
      <c r="J9" s="108">
        <f t="shared" si="6"/>
        <v>0.99107196000000009</v>
      </c>
      <c r="K9" s="7">
        <f t="shared" si="2"/>
        <v>6</v>
      </c>
      <c r="L9" s="110">
        <f t="shared" si="3"/>
        <v>4.7372882700000005</v>
      </c>
      <c r="M9" s="110">
        <f t="shared" si="4"/>
        <v>2.82273138</v>
      </c>
      <c r="N9" s="108">
        <f t="shared" si="7"/>
        <v>2.063053</v>
      </c>
      <c r="Q9" s="105" t="s">
        <v>352</v>
      </c>
      <c r="R9" s="106" t="s">
        <v>353</v>
      </c>
      <c r="S9" s="105" t="s">
        <v>343</v>
      </c>
      <c r="T9" s="107" t="s">
        <v>354</v>
      </c>
    </row>
    <row r="10" spans="1:20" x14ac:dyDescent="0.25">
      <c r="A10" s="7" t="s">
        <v>329</v>
      </c>
      <c r="B10" s="109">
        <v>1.9159999999999999</v>
      </c>
      <c r="C10" s="109">
        <v>3.9950000000000001</v>
      </c>
      <c r="D10" s="109">
        <v>2.395</v>
      </c>
      <c r="E10" s="109">
        <v>2</v>
      </c>
      <c r="G10" s="108">
        <f t="shared" si="5"/>
        <v>2.9544999999999999</v>
      </c>
      <c r="H10" s="108">
        <f t="shared" si="0"/>
        <v>1.2866276000000001</v>
      </c>
      <c r="I10" s="7">
        <f t="shared" si="1"/>
        <v>2</v>
      </c>
      <c r="J10" s="108">
        <f t="shared" si="6"/>
        <v>1.0016848</v>
      </c>
      <c r="K10" s="7">
        <f t="shared" si="2"/>
        <v>6</v>
      </c>
      <c r="L10" s="110">
        <f t="shared" si="3"/>
        <v>4.7675576</v>
      </c>
      <c r="M10" s="110">
        <f t="shared" si="4"/>
        <v>2.8426944000000001</v>
      </c>
      <c r="N10" s="108">
        <f t="shared" si="7"/>
        <v>2.063053</v>
      </c>
      <c r="Q10" s="102" t="s">
        <v>355</v>
      </c>
      <c r="R10" s="103" t="s">
        <v>356</v>
      </c>
      <c r="S10" s="102" t="s">
        <v>339</v>
      </c>
      <c r="T10" s="104" t="s">
        <v>357</v>
      </c>
    </row>
    <row r="11" spans="1:20" x14ac:dyDescent="0.25">
      <c r="Q11" s="102" t="s">
        <v>358</v>
      </c>
      <c r="R11" s="103" t="s">
        <v>359</v>
      </c>
      <c r="S11" s="102" t="s">
        <v>360</v>
      </c>
      <c r="T11" s="104" t="s">
        <v>361</v>
      </c>
    </row>
    <row r="12" spans="1:20" x14ac:dyDescent="0.25">
      <c r="Q12" s="102" t="s">
        <v>362</v>
      </c>
      <c r="R12" s="103" t="s">
        <v>363</v>
      </c>
      <c r="S12" s="102" t="s">
        <v>360</v>
      </c>
      <c r="T12" s="104" t="s">
        <v>364</v>
      </c>
    </row>
    <row r="14" spans="1:20" x14ac:dyDescent="0.25">
      <c r="Q14" s="102">
        <v>98685</v>
      </c>
      <c r="R14" s="103" t="s">
        <v>365</v>
      </c>
      <c r="S14" s="102" t="s">
        <v>366</v>
      </c>
      <c r="T14" s="104" t="s">
        <v>340</v>
      </c>
    </row>
    <row r="15" spans="1:20" x14ac:dyDescent="0.25">
      <c r="Q15" s="105" t="s">
        <v>367</v>
      </c>
      <c r="R15" s="106" t="s">
        <v>368</v>
      </c>
      <c r="S15" s="105" t="s">
        <v>366</v>
      </c>
      <c r="T15" s="107" t="s">
        <v>369</v>
      </c>
    </row>
    <row r="16" spans="1:20" x14ac:dyDescent="0.25">
      <c r="Q16" s="105" t="s">
        <v>370</v>
      </c>
      <c r="R16" s="106" t="s">
        <v>371</v>
      </c>
      <c r="S16" s="105" t="s">
        <v>343</v>
      </c>
      <c r="T16" s="107" t="s">
        <v>372</v>
      </c>
    </row>
    <row r="17" spans="17:20" x14ac:dyDescent="0.25">
      <c r="Q17" s="105" t="s">
        <v>373</v>
      </c>
      <c r="R17" s="106" t="s">
        <v>374</v>
      </c>
      <c r="S17" s="105" t="s">
        <v>343</v>
      </c>
      <c r="T17" s="107" t="s">
        <v>375</v>
      </c>
    </row>
    <row r="18" spans="17:20" x14ac:dyDescent="0.25">
      <c r="Q18" s="102" t="s">
        <v>358</v>
      </c>
      <c r="R18" s="103" t="s">
        <v>359</v>
      </c>
      <c r="S18" s="102" t="s">
        <v>360</v>
      </c>
      <c r="T18" s="104" t="s">
        <v>376</v>
      </c>
    </row>
    <row r="19" spans="17:20" x14ac:dyDescent="0.25">
      <c r="Q19" s="102" t="s">
        <v>362</v>
      </c>
      <c r="R19" s="103" t="s">
        <v>363</v>
      </c>
      <c r="S19" s="102" t="s">
        <v>360</v>
      </c>
      <c r="T19" s="104" t="s">
        <v>377</v>
      </c>
    </row>
  </sheetData>
  <phoneticPr fontId="3" type="noConversion"/>
  <conditionalFormatting sqref="Q14:T19">
    <cfRule type="expression" dxfId="1" priority="1" stopIfTrue="1">
      <formula>AND($A14&lt;&gt;"COMPOSICAO",$A14&lt;&gt;"INSUMO",$A14&lt;&gt;"")</formula>
    </cfRule>
    <cfRule type="expression" dxfId="0" priority="2" stopIfTrue="1">
      <formula>AND(OR($A14="COMPOSICAO",$A14="INSUMO",$A14&lt;&gt;""),$A14&lt;&gt;"")</formula>
    </cfRule>
  </conditionalFormatting>
  <pageMargins left="0.25" right="0.25" top="0.75" bottom="0.86166666666666669" header="0.3" footer="0.3"/>
  <pageSetup paperSize="9" scale="88" orientation="landscape" r:id="rId1"/>
  <headerFooter>
    <oddFooter>&amp;CEng. Civil Daniele Firme Miranda
CREA nº 24965/D-DF
ART nº 0720200047165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4</vt:i4>
      </vt:variant>
    </vt:vector>
  </HeadingPairs>
  <TitlesOfParts>
    <vt:vector size="12" baseType="lpstr">
      <vt:lpstr>Lista de Serviços</vt:lpstr>
      <vt:lpstr>Ed. Principal</vt:lpstr>
      <vt:lpstr>Quantitativos</vt:lpstr>
      <vt:lpstr>Cálculo Rev. Parede</vt:lpstr>
      <vt:lpstr>Paredes</vt:lpstr>
      <vt:lpstr>Det. Rev. Parede</vt:lpstr>
      <vt:lpstr>Det. Rev. Pisos</vt:lpstr>
      <vt:lpstr>Bancadas Granito</vt:lpstr>
      <vt:lpstr>'Bancadas Granito'!Area_de_impressao</vt:lpstr>
      <vt:lpstr>Quantitativos!Area_de_impressao</vt:lpstr>
      <vt:lpstr>'Lista de Serviços'!Titulos_de_impressao</vt:lpstr>
      <vt:lpstr>Quantitativos!Titulos_de_impressao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Miranda</dc:creator>
  <cp:lastModifiedBy>Daniele Miranda</cp:lastModifiedBy>
  <cp:lastPrinted>2020-10-08T10:56:24Z</cp:lastPrinted>
  <dcterms:created xsi:type="dcterms:W3CDTF">2020-06-26T16:35:05Z</dcterms:created>
  <dcterms:modified xsi:type="dcterms:W3CDTF">2020-10-08T10:58:47Z</dcterms:modified>
</cp:coreProperties>
</file>